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114083\Box\【02_課所共有】02_04_学事課\R04年度\02_高等学校担当\08 就学支援金・父母負担\02 父母負担軽減\HP更新\0619HP更新\"/>
    </mc:Choice>
  </mc:AlternateContent>
  <xr:revisionPtr revIDLastSave="0" documentId="13_ncr:1_{7568A423-5A5F-4255-BDB9-452F58D2155E}" xr6:coauthVersionLast="36" xr6:coauthVersionMax="36" xr10:uidLastSave="{00000000-0000-0000-0000-000000000000}"/>
  <bookViews>
    <workbookView xWindow="0" yWindow="0" windowWidth="19560" windowHeight="10185" xr2:uid="{00000000-000D-0000-FFFF-FFFF00000000}"/>
  </bookViews>
  <sheets>
    <sheet name="補助額試算表" sheetId="2" r:id="rId1"/>
    <sheet name="入力例" sheetId="3" r:id="rId2"/>
    <sheet name="課税証明書" sheetId="5" state="hidden" r:id="rId3"/>
    <sheet name="源泉徴収票" sheetId="4" state="hidden" r:id="rId4"/>
  </sheets>
  <definedNames>
    <definedName name="_xlnm.Print_Area" localSheetId="1">入力例!$A$1:$U$63</definedName>
    <definedName name="_xlnm.Print_Area" localSheetId="0">補助額試算表!$A$1:$J$63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3" l="1"/>
  <c r="K65" i="3" s="1"/>
  <c r="B52" i="3"/>
  <c r="K64" i="3" s="1"/>
  <c r="N43" i="3"/>
  <c r="M43" i="3"/>
  <c r="N41" i="3"/>
  <c r="M41" i="3"/>
  <c r="N36" i="3"/>
  <c r="M36" i="3"/>
  <c r="N35" i="3"/>
  <c r="M35" i="3"/>
  <c r="N34" i="3"/>
  <c r="M34" i="3"/>
  <c r="N33" i="3"/>
  <c r="M33" i="3"/>
  <c r="N32" i="3"/>
  <c r="M32" i="3"/>
  <c r="N31" i="3"/>
  <c r="M31" i="3"/>
  <c r="J31" i="3"/>
  <c r="I31" i="3"/>
  <c r="J30" i="3"/>
  <c r="I30" i="3"/>
  <c r="N20" i="3" s="1"/>
  <c r="C30" i="3"/>
  <c r="N30" i="3" s="1"/>
  <c r="N29" i="3" s="1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J10" i="3"/>
  <c r="I10" i="3"/>
  <c r="J9" i="3"/>
  <c r="I9" i="3"/>
  <c r="C9" i="3"/>
  <c r="M9" i="3" s="1"/>
  <c r="N8" i="3"/>
  <c r="M8" i="3"/>
  <c r="M20" i="3" l="1"/>
  <c r="M21" i="3"/>
  <c r="L48" i="3"/>
  <c r="N42" i="3"/>
  <c r="N40" i="3" s="1"/>
  <c r="N9" i="3"/>
  <c r="N38" i="3" s="1"/>
  <c r="F44" i="3" s="1"/>
  <c r="O65" i="3" s="1"/>
  <c r="K68" i="3"/>
  <c r="M42" i="3"/>
  <c r="M40" i="3" s="1"/>
  <c r="N11" i="3"/>
  <c r="M30" i="3"/>
  <c r="M29" i="3" s="1"/>
  <c r="I9" i="2"/>
  <c r="M11" i="3" l="1"/>
  <c r="H21" i="3" s="1"/>
  <c r="M38" i="3" s="1"/>
  <c r="M45" i="3" s="1"/>
  <c r="F24" i="3" s="1"/>
  <c r="O64" i="3" s="1"/>
  <c r="P64" i="3" s="1"/>
  <c r="I42" i="3"/>
  <c r="N45" i="3"/>
  <c r="F45" i="3" s="1"/>
  <c r="O66" i="3" s="1"/>
  <c r="P66" i="3" s="1"/>
  <c r="P77" i="3" s="1"/>
  <c r="I21" i="3"/>
  <c r="F23" i="3" s="1"/>
  <c r="O63" i="3" s="1"/>
  <c r="B52" i="2"/>
  <c r="K64" i="2" s="1"/>
  <c r="B53" i="2"/>
  <c r="S73" i="3" l="1"/>
  <c r="P76" i="3"/>
  <c r="P78" i="3" s="1"/>
  <c r="B49" i="3" s="1"/>
  <c r="P68" i="3"/>
  <c r="R68" i="3" s="1"/>
  <c r="P69" i="3"/>
  <c r="Q70" i="3" s="1"/>
  <c r="R71" i="3" s="1"/>
  <c r="K65" i="2"/>
  <c r="K68" i="2" s="1"/>
  <c r="L48" i="2"/>
  <c r="C30" i="2"/>
  <c r="C9" i="2"/>
  <c r="C61" i="3" l="1"/>
  <c r="C62" i="3"/>
  <c r="C59" i="3"/>
  <c r="R72" i="3"/>
  <c r="S74" i="3" s="1"/>
  <c r="C60" i="3"/>
  <c r="C58" i="3" s="1"/>
  <c r="J10" i="2"/>
  <c r="J9" i="2"/>
  <c r="J31" i="2"/>
  <c r="J30" i="2"/>
  <c r="C63" i="3" l="1"/>
  <c r="M20" i="2"/>
  <c r="M43" i="2"/>
  <c r="N43" i="2"/>
  <c r="M26" i="2"/>
  <c r="N26" i="2"/>
  <c r="N27" i="2"/>
  <c r="M27" i="2"/>
  <c r="M32" i="2" l="1"/>
  <c r="M28" i="2"/>
  <c r="N24" i="2" l="1"/>
  <c r="M24" i="2"/>
  <c r="N31" i="2"/>
  <c r="M31" i="2"/>
  <c r="N34" i="2"/>
  <c r="M34" i="2"/>
  <c r="N19" i="2"/>
  <c r="M19" i="2"/>
  <c r="M17" i="2"/>
  <c r="N33" i="2"/>
  <c r="M33" i="2"/>
  <c r="M30" i="2" l="1"/>
  <c r="N30" i="2"/>
  <c r="M14" i="2" l="1"/>
  <c r="M8" i="2"/>
  <c r="J11" i="5" l="1"/>
  <c r="J8" i="5"/>
  <c r="J12" i="5" s="1"/>
  <c r="M9" i="2"/>
  <c r="I10" i="2" l="1"/>
  <c r="M42" i="2" s="1"/>
  <c r="I31" i="2"/>
  <c r="I30" i="2"/>
  <c r="N20" i="2" s="1"/>
  <c r="N41" i="2" l="1"/>
  <c r="N36" i="2"/>
  <c r="N35" i="2"/>
  <c r="N32" i="2"/>
  <c r="N28" i="2"/>
  <c r="N25" i="2"/>
  <c r="N23" i="2"/>
  <c r="N22" i="2"/>
  <c r="N18" i="2"/>
  <c r="N17" i="2"/>
  <c r="N16" i="2"/>
  <c r="N15" i="2"/>
  <c r="N14" i="2"/>
  <c r="N12" i="2"/>
  <c r="N8" i="2"/>
  <c r="M41" i="2"/>
  <c r="M40" i="2" s="1"/>
  <c r="M36" i="2"/>
  <c r="M35" i="2"/>
  <c r="M16" i="2"/>
  <c r="M18" i="2"/>
  <c r="M15" i="2"/>
  <c r="M25" i="2"/>
  <c r="M23" i="2"/>
  <c r="M22" i="2"/>
  <c r="M12" i="2"/>
  <c r="M29" i="2" l="1"/>
  <c r="M21" i="2"/>
  <c r="M13" i="2"/>
  <c r="N21" i="2"/>
  <c r="N42" i="2"/>
  <c r="N40" i="2" s="1"/>
  <c r="N9" i="2"/>
  <c r="N13" i="2"/>
  <c r="N29" i="2"/>
  <c r="M11" i="2" l="1"/>
  <c r="N11" i="2"/>
  <c r="H42" i="2" l="1"/>
  <c r="N38" i="2" s="1"/>
  <c r="H21" i="2"/>
  <c r="M38" i="2" s="1"/>
  <c r="F44" i="2" l="1"/>
  <c r="N45" i="2"/>
  <c r="F45" i="2" s="1"/>
  <c r="O66" i="2" s="1"/>
  <c r="P66" i="2" s="1"/>
  <c r="I21" i="2"/>
  <c r="F23" i="2" s="1"/>
  <c r="M45" i="2"/>
  <c r="F24" i="2" s="1"/>
  <c r="I42" i="2"/>
  <c r="O64" i="2" l="1"/>
  <c r="O65" i="2"/>
  <c r="P77" i="2" s="1"/>
  <c r="O63" i="2"/>
  <c r="P64" i="2" l="1"/>
  <c r="S73" i="2" s="1"/>
  <c r="P68" i="2"/>
  <c r="R68" i="2" s="1"/>
  <c r="P69" i="2"/>
  <c r="Q70" i="2" s="1"/>
  <c r="R71" i="2" s="1"/>
  <c r="P76" i="2" l="1"/>
  <c r="P78" i="2" s="1"/>
  <c r="R72" i="2"/>
  <c r="S74" i="2" s="1"/>
  <c r="B49" i="2" l="1"/>
  <c r="C61" i="2" s="1"/>
  <c r="C62" i="2" l="1"/>
  <c r="C59" i="2"/>
  <c r="C60" i="2" s="1"/>
  <c r="C58" i="2" l="1"/>
  <c r="C63" i="2" s="1"/>
</calcChain>
</file>

<file path=xl/sharedStrings.xml><?xml version="1.0" encoding="utf-8"?>
<sst xmlns="http://schemas.openxmlformats.org/spreadsheetml/2006/main" count="572" uniqueCount="250">
  <si>
    <t>保護者１</t>
    <rPh sb="0" eb="3">
      <t>ホゴシャ</t>
    </rPh>
    <phoneticPr fontId="3"/>
  </si>
  <si>
    <t>課税所得</t>
    <rPh sb="0" eb="2">
      <t>カゼイ</t>
    </rPh>
    <rPh sb="2" eb="4">
      <t>ショトク</t>
    </rPh>
    <phoneticPr fontId="3"/>
  </si>
  <si>
    <t>所得金額</t>
    <rPh sb="0" eb="2">
      <t>ショトク</t>
    </rPh>
    <rPh sb="2" eb="4">
      <t>キンガク</t>
    </rPh>
    <phoneticPr fontId="3"/>
  </si>
  <si>
    <t>▼保護者１▼</t>
    <rPh sb="1" eb="4">
      <t>ホゴシャ</t>
    </rPh>
    <phoneticPr fontId="3"/>
  </si>
  <si>
    <t>収入金額</t>
    <rPh sb="0" eb="2">
      <t>シュウニュウ</t>
    </rPh>
    <rPh sb="2" eb="4">
      <t>キンガク</t>
    </rPh>
    <phoneticPr fontId="3"/>
  </si>
  <si>
    <t>控除対象配偶者</t>
    <rPh sb="0" eb="2">
      <t>コウジョ</t>
    </rPh>
    <rPh sb="2" eb="4">
      <t>タイショウ</t>
    </rPh>
    <rPh sb="4" eb="7">
      <t>ハイグウシャ</t>
    </rPh>
    <phoneticPr fontId="3"/>
  </si>
  <si>
    <t>寡夫</t>
    <rPh sb="0" eb="2">
      <t>カフ</t>
    </rPh>
    <phoneticPr fontId="3"/>
  </si>
  <si>
    <t>特定</t>
    <rPh sb="0" eb="2">
      <t>トクテイ</t>
    </rPh>
    <phoneticPr fontId="3"/>
  </si>
  <si>
    <t>老人</t>
    <rPh sb="0" eb="2">
      <t>ロウジン</t>
    </rPh>
    <phoneticPr fontId="3"/>
  </si>
  <si>
    <t>その他</t>
    <rPh sb="2" eb="3">
      <t>タ</t>
    </rPh>
    <phoneticPr fontId="3"/>
  </si>
  <si>
    <t>障害</t>
    <rPh sb="0" eb="2">
      <t>ショウガイ</t>
    </rPh>
    <phoneticPr fontId="3"/>
  </si>
  <si>
    <t>特別障害</t>
    <rPh sb="0" eb="2">
      <t>トクベツ</t>
    </rPh>
    <rPh sb="2" eb="4">
      <t>ショウガイ</t>
    </rPh>
    <phoneticPr fontId="3"/>
  </si>
  <si>
    <t>勤労学生</t>
    <rPh sb="0" eb="2">
      <t>キンロウ</t>
    </rPh>
    <rPh sb="2" eb="4">
      <t>ガクセイ</t>
    </rPh>
    <phoneticPr fontId="3"/>
  </si>
  <si>
    <t>▼保護者２▼</t>
    <rPh sb="1" eb="4">
      <t>ホゴシャ</t>
    </rPh>
    <phoneticPr fontId="3"/>
  </si>
  <si>
    <t>　うち就学支援金</t>
    <rPh sb="3" eb="5">
      <t>シュウガク</t>
    </rPh>
    <rPh sb="5" eb="8">
      <t>シエンキン</t>
    </rPh>
    <phoneticPr fontId="3"/>
  </si>
  <si>
    <t>　うち県独自補助</t>
    <rPh sb="3" eb="4">
      <t>ケン</t>
    </rPh>
    <rPh sb="4" eb="6">
      <t>ドクジ</t>
    </rPh>
    <rPh sb="6" eb="8">
      <t>ホジョ</t>
    </rPh>
    <phoneticPr fontId="3"/>
  </si>
  <si>
    <t>控除対象扶養親族数</t>
    <rPh sb="0" eb="2">
      <t>コウジョ</t>
    </rPh>
    <rPh sb="2" eb="4">
      <t>タイショウ</t>
    </rPh>
    <rPh sb="4" eb="6">
      <t>フヨウ</t>
    </rPh>
    <rPh sb="6" eb="8">
      <t>シンゾク</t>
    </rPh>
    <rPh sb="8" eb="9">
      <t>スウ</t>
    </rPh>
    <phoneticPr fontId="3"/>
  </si>
  <si>
    <t>同居老人</t>
    <rPh sb="0" eb="2">
      <t>ドウキョ</t>
    </rPh>
    <rPh sb="2" eb="4">
      <t>ロウジン</t>
    </rPh>
    <phoneticPr fontId="3"/>
  </si>
  <si>
    <t>特別</t>
    <rPh sb="0" eb="2">
      <t>トクベツ</t>
    </rPh>
    <phoneticPr fontId="3"/>
  </si>
  <si>
    <t>特別（同居）</t>
    <rPh sb="0" eb="2">
      <t>トクベツ</t>
    </rPh>
    <rPh sb="3" eb="5">
      <t>ドウキョ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</si>
  <si>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</si>
  <si>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地震保険料の金額</t>
    <rPh sb="0" eb="2">
      <t>ジシン</t>
    </rPh>
    <rPh sb="2" eb="5">
      <t>ホケンリョウ</t>
    </rPh>
    <rPh sb="6" eb="8">
      <t>キンガク</t>
    </rPh>
    <phoneticPr fontId="3"/>
  </si>
  <si>
    <t>生命保険料の金額</t>
    <rPh sb="0" eb="2">
      <t>セイメイ</t>
    </rPh>
    <rPh sb="2" eb="4">
      <t>ホケン</t>
    </rPh>
    <rPh sb="4" eb="5">
      <t>リョウ</t>
    </rPh>
    <rPh sb="6" eb="8">
      <t>キンガク</t>
    </rPh>
    <phoneticPr fontId="3"/>
  </si>
  <si>
    <t>新生命</t>
    <rPh sb="0" eb="1">
      <t>シン</t>
    </rPh>
    <rPh sb="1" eb="3">
      <t>セイメイ</t>
    </rPh>
    <phoneticPr fontId="3"/>
  </si>
  <si>
    <t>旧生命</t>
    <rPh sb="0" eb="1">
      <t>キュウ</t>
    </rPh>
    <rPh sb="1" eb="3">
      <t>セイメイ</t>
    </rPh>
    <phoneticPr fontId="3"/>
  </si>
  <si>
    <t>介護医療</t>
    <rPh sb="0" eb="2">
      <t>カイゴ</t>
    </rPh>
    <rPh sb="2" eb="4">
      <t>イリョウ</t>
    </rPh>
    <phoneticPr fontId="3"/>
  </si>
  <si>
    <t>新個人年金</t>
    <rPh sb="0" eb="1">
      <t>シン</t>
    </rPh>
    <rPh sb="1" eb="3">
      <t>コジン</t>
    </rPh>
    <rPh sb="3" eb="5">
      <t>ネンキン</t>
    </rPh>
    <phoneticPr fontId="3"/>
  </si>
  <si>
    <t>旧個人年金</t>
    <rPh sb="0" eb="1">
      <t>キュウ</t>
    </rPh>
    <rPh sb="1" eb="3">
      <t>コジン</t>
    </rPh>
    <rPh sb="3" eb="5">
      <t>ネンキン</t>
    </rPh>
    <phoneticPr fontId="3"/>
  </si>
  <si>
    <t>配偶者の合計所得</t>
    <rPh sb="0" eb="3">
      <t>ハイグウシャ</t>
    </rPh>
    <rPh sb="4" eb="6">
      <t>ゴウケイ</t>
    </rPh>
    <rPh sb="6" eb="8">
      <t>ショトク</t>
    </rPh>
    <phoneticPr fontId="3"/>
  </si>
  <si>
    <t>障害者</t>
    <rPh sb="0" eb="1">
      <t>ショウ</t>
    </rPh>
    <rPh sb="1" eb="2">
      <t>ガイ</t>
    </rPh>
    <rPh sb="2" eb="3">
      <t>シャ</t>
    </rPh>
    <phoneticPr fontId="3"/>
  </si>
  <si>
    <t>寡婦</t>
    <rPh sb="0" eb="2">
      <t>カフ</t>
    </rPh>
    <phoneticPr fontId="3"/>
  </si>
  <si>
    <t>一般</t>
    <rPh sb="0" eb="2">
      <t>イッパン</t>
    </rPh>
    <phoneticPr fontId="3"/>
  </si>
  <si>
    <t>16歳未満
扶養親族数</t>
    <rPh sb="2" eb="5">
      <t>サイミマン</t>
    </rPh>
    <rPh sb="6" eb="8">
      <t>フヨウ</t>
    </rPh>
    <rPh sb="8" eb="10">
      <t>シンゾク</t>
    </rPh>
    <rPh sb="10" eb="11">
      <t>スウ</t>
    </rPh>
    <phoneticPr fontId="3"/>
  </si>
  <si>
    <t>＜扶養の状況＞</t>
    <rPh sb="1" eb="3">
      <t>フヨウ</t>
    </rPh>
    <rPh sb="4" eb="6">
      <t>ジョウキョウ</t>
    </rPh>
    <phoneticPr fontId="3"/>
  </si>
  <si>
    <t>＜本人該当区分＞</t>
    <rPh sb="1" eb="3">
      <t>ホンニン</t>
    </rPh>
    <rPh sb="3" eb="5">
      <t>ガイトウ</t>
    </rPh>
    <rPh sb="5" eb="7">
      <t>クブン</t>
    </rPh>
    <phoneticPr fontId="3"/>
  </si>
  <si>
    <t>＜各種支払金額＞</t>
    <rPh sb="1" eb="3">
      <t>カクシュ</t>
    </rPh>
    <rPh sb="3" eb="5">
      <t>シハライ</t>
    </rPh>
    <rPh sb="5" eb="7">
      <t>キンガク</t>
    </rPh>
    <phoneticPr fontId="3"/>
  </si>
  <si>
    <t>＜所得の状況＞</t>
    <rPh sb="1" eb="3">
      <t>ショトク</t>
    </rPh>
    <rPh sb="4" eb="6">
      <t>ジョウキョウ</t>
    </rPh>
    <phoneticPr fontId="3"/>
  </si>
  <si>
    <t>給与等の収入金額</t>
    <rPh sb="0" eb="2">
      <t>キュウヨ</t>
    </rPh>
    <rPh sb="2" eb="3">
      <t>トウ</t>
    </rPh>
    <rPh sb="4" eb="6">
      <t>シュウニュウ</t>
    </rPh>
    <rPh sb="6" eb="8">
      <t>キンガク</t>
    </rPh>
    <phoneticPr fontId="3"/>
  </si>
  <si>
    <t>給与等の所得金額</t>
    <rPh sb="0" eb="2">
      <t>キュウヨ</t>
    </rPh>
    <rPh sb="2" eb="3">
      <t>トウ</t>
    </rPh>
    <rPh sb="4" eb="6">
      <t>ショトク</t>
    </rPh>
    <rPh sb="6" eb="8">
      <t>キンガク</t>
    </rPh>
    <phoneticPr fontId="3"/>
  </si>
  <si>
    <t>地方税の課税標準額</t>
    <rPh sb="0" eb="3">
      <t>チホウゼイ</t>
    </rPh>
    <rPh sb="4" eb="6">
      <t>カゼイ</t>
    </rPh>
    <rPh sb="6" eb="8">
      <t>ヒョウジュン</t>
    </rPh>
    <rPh sb="8" eb="9">
      <t>ガク</t>
    </rPh>
    <phoneticPr fontId="3"/>
  </si>
  <si>
    <t>住所：</t>
    <rPh sb="0" eb="2">
      <t>ジュウショ</t>
    </rPh>
    <phoneticPr fontId="3"/>
  </si>
  <si>
    <t>市町村民税の調整控除額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0" eb="11">
      <t>ガク</t>
    </rPh>
    <phoneticPr fontId="3"/>
  </si>
  <si>
    <t>判定額</t>
    <rPh sb="0" eb="2">
      <t>ハンテイ</t>
    </rPh>
    <rPh sb="2" eb="3">
      <t>ガク</t>
    </rPh>
    <phoneticPr fontId="3"/>
  </si>
  <si>
    <t>所得控除</t>
    <rPh sb="0" eb="2">
      <t>ショトク</t>
    </rPh>
    <rPh sb="2" eb="4">
      <t>コウジョ</t>
    </rPh>
    <phoneticPr fontId="3"/>
  </si>
  <si>
    <t>社保料</t>
    <rPh sb="0" eb="2">
      <t>シャホ</t>
    </rPh>
    <rPh sb="2" eb="3">
      <t>リョウ</t>
    </rPh>
    <phoneticPr fontId="3"/>
  </si>
  <si>
    <t>生保</t>
    <rPh sb="0" eb="2">
      <t>セイホ</t>
    </rPh>
    <phoneticPr fontId="3"/>
  </si>
  <si>
    <t>地震</t>
    <rPh sb="0" eb="2">
      <t>ジシン</t>
    </rPh>
    <phoneticPr fontId="3"/>
  </si>
  <si>
    <t>新生</t>
    <rPh sb="0" eb="2">
      <t>シンセイ</t>
    </rPh>
    <phoneticPr fontId="3"/>
  </si>
  <si>
    <t>旧生</t>
    <rPh sb="0" eb="1">
      <t>キュウ</t>
    </rPh>
    <rPh sb="1" eb="2">
      <t>セイ</t>
    </rPh>
    <phoneticPr fontId="3"/>
  </si>
  <si>
    <t>介護</t>
    <rPh sb="0" eb="2">
      <t>カイゴ</t>
    </rPh>
    <phoneticPr fontId="3"/>
  </si>
  <si>
    <t>新個人</t>
    <rPh sb="0" eb="1">
      <t>シン</t>
    </rPh>
    <rPh sb="1" eb="3">
      <t>コジン</t>
    </rPh>
    <phoneticPr fontId="3"/>
  </si>
  <si>
    <t>旧個人</t>
    <rPh sb="0" eb="1">
      <t>キュウ</t>
    </rPh>
    <rPh sb="1" eb="3">
      <t>コジン</t>
    </rPh>
    <phoneticPr fontId="3"/>
  </si>
  <si>
    <t>扶養</t>
    <rPh sb="0" eb="2">
      <t>フヨウ</t>
    </rPh>
    <phoneticPr fontId="3"/>
  </si>
  <si>
    <t>配偶者</t>
    <rPh sb="0" eb="3">
      <t>ハイグウシャ</t>
    </rPh>
    <phoneticPr fontId="3"/>
  </si>
  <si>
    <t>本人</t>
    <rPh sb="0" eb="2">
      <t>ホンニン</t>
    </rPh>
    <phoneticPr fontId="3"/>
  </si>
  <si>
    <t>基礎</t>
    <rPh sb="0" eb="2">
      <t>キソ</t>
    </rPh>
    <phoneticPr fontId="3"/>
  </si>
  <si>
    <t>人的控除差</t>
    <rPh sb="0" eb="2">
      <t>ジンテキ</t>
    </rPh>
    <rPh sb="2" eb="4">
      <t>コウジョ</t>
    </rPh>
    <rPh sb="4" eb="5">
      <t>サ</t>
    </rPh>
    <phoneticPr fontId="3"/>
  </si>
  <si>
    <t>調整控除</t>
    <rPh sb="0" eb="2">
      <t>チョウセイ</t>
    </rPh>
    <rPh sb="2" eb="4">
      <t>コウジョ</t>
    </rPh>
    <phoneticPr fontId="3"/>
  </si>
  <si>
    <t>配偶者特別控除</t>
    <rPh sb="0" eb="7">
      <t>ハイグウシャトクベツコウジョ</t>
    </rPh>
    <phoneticPr fontId="3"/>
  </si>
  <si>
    <t>&lt;=9000000</t>
    <phoneticPr fontId="3"/>
  </si>
  <si>
    <t>9000000&lt;&lt;=9500000</t>
    <phoneticPr fontId="3"/>
  </si>
  <si>
    <t>9500000&lt;&lt;=10000000</t>
    <phoneticPr fontId="3"/>
  </si>
  <si>
    <t>保護者２</t>
    <rPh sb="0" eb="3">
      <t>ホゴシャ</t>
    </rPh>
    <phoneticPr fontId="3"/>
  </si>
  <si>
    <t>850000&lt;</t>
    <phoneticPr fontId="3"/>
  </si>
  <si>
    <t>1000000&lt;</t>
    <phoneticPr fontId="3"/>
  </si>
  <si>
    <t>1050000&lt;</t>
    <phoneticPr fontId="3"/>
  </si>
  <si>
    <t>1100000&lt;</t>
    <phoneticPr fontId="3"/>
  </si>
  <si>
    <t>1150000&lt;</t>
    <phoneticPr fontId="3"/>
  </si>
  <si>
    <t>1200000&lt;</t>
    <phoneticPr fontId="3"/>
  </si>
  <si>
    <t>配偶者（老人）</t>
    <rPh sb="0" eb="3">
      <t>ハイグウシャ</t>
    </rPh>
    <rPh sb="4" eb="6">
      <t>ロウジン</t>
    </rPh>
    <phoneticPr fontId="3"/>
  </si>
  <si>
    <t>▽判定▽</t>
    <rPh sb="1" eb="3">
      <t>ハンテイ</t>
    </rPh>
    <phoneticPr fontId="3"/>
  </si>
  <si>
    <t>判定額合計</t>
    <rPh sb="0" eb="2">
      <t>ハンテイ</t>
    </rPh>
    <rPh sb="2" eb="3">
      <t>ガク</t>
    </rPh>
    <rPh sb="3" eb="5">
      <t>ゴウケイ</t>
    </rPh>
    <phoneticPr fontId="3"/>
  </si>
  <si>
    <t>授業料補助額</t>
    <rPh sb="0" eb="3">
      <t>ジュギョウリョウ</t>
    </rPh>
    <rPh sb="3" eb="5">
      <t>ホジョ</t>
    </rPh>
    <rPh sb="5" eb="6">
      <t>ガク</t>
    </rPh>
    <phoneticPr fontId="3"/>
  </si>
  <si>
    <t>施設費等納付金補助額</t>
    <rPh sb="0" eb="2">
      <t>シセツ</t>
    </rPh>
    <rPh sb="2" eb="3">
      <t>ヒ</t>
    </rPh>
    <rPh sb="3" eb="4">
      <t>トウ</t>
    </rPh>
    <rPh sb="4" eb="7">
      <t>ノウフキン</t>
    </rPh>
    <rPh sb="7" eb="9">
      <t>ホジョ</t>
    </rPh>
    <rPh sb="9" eb="10">
      <t>ガク</t>
    </rPh>
    <phoneticPr fontId="3"/>
  </si>
  <si>
    <t>入学金補助額</t>
    <rPh sb="0" eb="3">
      <t>ニュウガクキン</t>
    </rPh>
    <rPh sb="3" eb="5">
      <t>ホジョ</t>
    </rPh>
    <rPh sb="5" eb="6">
      <t>ガク</t>
    </rPh>
    <phoneticPr fontId="3"/>
  </si>
  <si>
    <t>父母負担</t>
    <rPh sb="0" eb="2">
      <t>フボ</t>
    </rPh>
    <rPh sb="2" eb="4">
      <t>フタン</t>
    </rPh>
    <phoneticPr fontId="3"/>
  </si>
  <si>
    <t>施設費</t>
    <rPh sb="0" eb="2">
      <t>シセツ</t>
    </rPh>
    <rPh sb="2" eb="3">
      <t>ヒ</t>
    </rPh>
    <phoneticPr fontId="3"/>
  </si>
  <si>
    <t>入学金</t>
    <rPh sb="0" eb="3">
      <t>ニュウガクキン</t>
    </rPh>
    <phoneticPr fontId="3"/>
  </si>
  <si>
    <t>父母負担軽減事業　補助額試算表</t>
    <rPh sb="0" eb="2">
      <t>フボ</t>
    </rPh>
    <rPh sb="2" eb="4">
      <t>フタン</t>
    </rPh>
    <rPh sb="4" eb="6">
      <t>ケイゲン</t>
    </rPh>
    <rPh sb="6" eb="8">
      <t>ジギョウ</t>
    </rPh>
    <rPh sb="9" eb="11">
      <t>ホジョ</t>
    </rPh>
    <rPh sb="11" eb="12">
      <t>ガク</t>
    </rPh>
    <rPh sb="12" eb="14">
      <t>シサン</t>
    </rPh>
    <rPh sb="14" eb="15">
      <t>ヒョウ</t>
    </rPh>
    <phoneticPr fontId="3"/>
  </si>
  <si>
    <t>＜所得控除等＞</t>
    <rPh sb="1" eb="3">
      <t>ショトク</t>
    </rPh>
    <rPh sb="3" eb="5">
      <t>コウジョ</t>
    </rPh>
    <rPh sb="5" eb="6">
      <t>トウ</t>
    </rPh>
    <phoneticPr fontId="3"/>
  </si>
  <si>
    <t>所得控除合計</t>
    <rPh sb="0" eb="2">
      <t>ショトク</t>
    </rPh>
    <rPh sb="2" eb="4">
      <t>コウジョ</t>
    </rPh>
    <rPh sb="4" eb="6">
      <t>ゴウケイ</t>
    </rPh>
    <phoneticPr fontId="3"/>
  </si>
  <si>
    <t>↑課税証明書をお持ちの方は、</t>
    <rPh sb="1" eb="3">
      <t>カゼイ</t>
    </rPh>
    <rPh sb="3" eb="6">
      <t>ショウメイショ</t>
    </rPh>
    <rPh sb="8" eb="9">
      <t>モ</t>
    </rPh>
    <rPh sb="11" eb="12">
      <t>カタ</t>
    </rPh>
    <phoneticPr fontId="3"/>
  </si>
  <si>
    <t>証明書に表示された金額と</t>
    <rPh sb="0" eb="3">
      <t>ショウメイショ</t>
    </rPh>
    <rPh sb="4" eb="6">
      <t>ヒョウジ</t>
    </rPh>
    <rPh sb="9" eb="11">
      <t>キンガク</t>
    </rPh>
    <phoneticPr fontId="3"/>
  </si>
  <si>
    <t>違う場合は直接修正してください</t>
    <rPh sb="0" eb="1">
      <t>チガ</t>
    </rPh>
    <rPh sb="2" eb="4">
      <t>バアイ</t>
    </rPh>
    <rPh sb="5" eb="7">
      <t>チョクセツ</t>
    </rPh>
    <rPh sb="7" eb="9">
      <t>シュウセイ</t>
    </rPh>
    <phoneticPr fontId="3"/>
  </si>
  <si>
    <t>各保護者について、該当するすべての項目を入力してください。</t>
    <rPh sb="0" eb="1">
      <t>カク</t>
    </rPh>
    <rPh sb="1" eb="4">
      <t>ホゴシャ</t>
    </rPh>
    <rPh sb="9" eb="11">
      <t>ガイトウ</t>
    </rPh>
    <rPh sb="17" eb="19">
      <t>コウモク</t>
    </rPh>
    <rPh sb="20" eb="22">
      <t>ニュウリョク</t>
    </rPh>
    <phoneticPr fontId="3"/>
  </si>
  <si>
    <r>
      <t xml:space="preserve">社会保険料等の金額
</t>
    </r>
    <r>
      <rPr>
        <sz val="8"/>
        <rFont val="メイリオ"/>
        <family val="3"/>
        <charset val="128"/>
      </rPr>
      <t>（小規模企業共済等掛金を含む）</t>
    </r>
    <rPh sb="0" eb="2">
      <t>シャカイ</t>
    </rPh>
    <rPh sb="2" eb="5">
      <t>ホケンリョウ</t>
    </rPh>
    <rPh sb="5" eb="6">
      <t>トウ</t>
    </rPh>
    <rPh sb="7" eb="9">
      <t>キンガク</t>
    </rPh>
    <rPh sb="11" eb="18">
      <t>ショウキボキギョウキョウサイ</t>
    </rPh>
    <rPh sb="18" eb="19">
      <t>トウ</t>
    </rPh>
    <rPh sb="19" eb="21">
      <t>カケキン</t>
    </rPh>
    <rPh sb="22" eb="23">
      <t>フク</t>
    </rPh>
    <phoneticPr fontId="3"/>
  </si>
  <si>
    <t>令和○年分</t>
    <rPh sb="0" eb="2">
      <t>レイワ</t>
    </rPh>
    <rPh sb="3" eb="4">
      <t>ネン</t>
    </rPh>
    <rPh sb="4" eb="5">
      <t>ブン</t>
    </rPh>
    <phoneticPr fontId="3"/>
  </si>
  <si>
    <t>給与所得の源泉徴収票</t>
    <rPh sb="0" eb="2">
      <t>キュウヨ</t>
    </rPh>
    <rPh sb="2" eb="4">
      <t>ショトク</t>
    </rPh>
    <rPh sb="5" eb="7">
      <t>ゲンセン</t>
    </rPh>
    <rPh sb="7" eb="10">
      <t>チョウシュウヒョウ</t>
    </rPh>
    <phoneticPr fontId="3"/>
  </si>
  <si>
    <t>支払を</t>
    <rPh sb="0" eb="2">
      <t>シハライ</t>
    </rPh>
    <phoneticPr fontId="3"/>
  </si>
  <si>
    <t>受ける者</t>
    <rPh sb="0" eb="1">
      <t>ウ</t>
    </rPh>
    <rPh sb="3" eb="4">
      <t>シャ</t>
    </rPh>
    <phoneticPr fontId="3"/>
  </si>
  <si>
    <t>住</t>
    <rPh sb="0" eb="1">
      <t>ジュウ</t>
    </rPh>
    <phoneticPr fontId="3"/>
  </si>
  <si>
    <t>所</t>
    <rPh sb="0" eb="1">
      <t>ショ</t>
    </rPh>
    <phoneticPr fontId="3"/>
  </si>
  <si>
    <t>又</t>
    <rPh sb="0" eb="1">
      <t>マタ</t>
    </rPh>
    <phoneticPr fontId="3"/>
  </si>
  <si>
    <t>は</t>
    <phoneticPr fontId="3"/>
  </si>
  <si>
    <t>居</t>
    <rPh sb="0" eb="1">
      <t>キョ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</si>
  <si>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</si>
  <si>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</si>
  <si>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埼玉　太郎</t>
    <rPh sb="0" eb="2">
      <t>サイタマ</t>
    </rPh>
    <rPh sb="3" eb="5">
      <t>タロウ</t>
    </rPh>
    <phoneticPr fontId="3"/>
  </si>
  <si>
    <t>（フリガナ）ｻｲﾀﾏ　ﾀﾛｳ</t>
    <phoneticPr fontId="3"/>
  </si>
  <si>
    <t>種別</t>
    <rPh sb="0" eb="2">
      <t>シュベツ</t>
    </rPh>
    <phoneticPr fontId="3"/>
  </si>
  <si>
    <t>給料</t>
    <rPh sb="0" eb="2">
      <t>キュウリョウ</t>
    </rPh>
    <phoneticPr fontId="3"/>
  </si>
  <si>
    <t>賞与等</t>
    <rPh sb="0" eb="2">
      <t>ショウヨ</t>
    </rPh>
    <rPh sb="2" eb="3">
      <t>トウ</t>
    </rPh>
    <phoneticPr fontId="3"/>
  </si>
  <si>
    <t>支払金額</t>
    <rPh sb="0" eb="2">
      <t>シハライ</t>
    </rPh>
    <rPh sb="2" eb="4">
      <t>キンガク</t>
    </rPh>
    <phoneticPr fontId="3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</si>
  <si>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</si>
  <si>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</si>
  <si>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源泉徴収税額</t>
    <rPh sb="0" eb="2">
      <t>ゲンセン</t>
    </rPh>
    <rPh sb="2" eb="4">
      <t>チョウシュウ</t>
    </rPh>
    <rPh sb="4" eb="6">
      <t>ゼイガク</t>
    </rPh>
    <phoneticPr fontId="3"/>
  </si>
  <si>
    <t>配偶者（特別）</t>
    <rPh sb="0" eb="3">
      <t>ハイグウシャ</t>
    </rPh>
    <rPh sb="4" eb="6">
      <t>トクベツ</t>
    </rPh>
    <phoneticPr fontId="3"/>
  </si>
  <si>
    <t>控除の額</t>
    <rPh sb="0" eb="2">
      <t>コウジョ</t>
    </rPh>
    <rPh sb="3" eb="4">
      <t>ガク</t>
    </rPh>
    <phoneticPr fontId="3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</si>
  <si>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3"/>
  </si>
  <si>
    <t>16歳未満</t>
    <rPh sb="2" eb="3">
      <t>サイ</t>
    </rPh>
    <rPh sb="3" eb="5">
      <t>ミマン</t>
    </rPh>
    <phoneticPr fontId="3"/>
  </si>
  <si>
    <t>扶養親族</t>
    <rPh sb="0" eb="2">
      <t>フヨウ</t>
    </rPh>
    <rPh sb="2" eb="4">
      <t>シンゾク</t>
    </rPh>
    <phoneticPr fontId="3"/>
  </si>
  <si>
    <t>障がい者の数</t>
    <rPh sb="0" eb="1">
      <t>ショウ</t>
    </rPh>
    <rPh sb="3" eb="4">
      <t>シャ</t>
    </rPh>
    <rPh sb="5" eb="6">
      <t>カズ</t>
    </rPh>
    <phoneticPr fontId="3"/>
  </si>
  <si>
    <t>（本人を除く。）</t>
    <rPh sb="1" eb="3">
      <t>ホンニン</t>
    </rPh>
    <rPh sb="4" eb="5">
      <t>ノゾ</t>
    </rPh>
    <phoneticPr fontId="3"/>
  </si>
  <si>
    <t>非居住者</t>
    <rPh sb="0" eb="4">
      <t>ヒキョジュウシャ</t>
    </rPh>
    <phoneticPr fontId="3"/>
  </si>
  <si>
    <t>である</t>
    <phoneticPr fontId="3"/>
  </si>
  <si>
    <t>親族の数</t>
    <rPh sb="0" eb="2">
      <t>シンゾク</t>
    </rPh>
    <rPh sb="3" eb="4">
      <t>カズ</t>
    </rPh>
    <phoneticPr fontId="3"/>
  </si>
  <si>
    <t>の数</t>
    <rPh sb="1" eb="2">
      <t>カズ</t>
    </rPh>
    <phoneticPr fontId="3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</si>
  <si>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</si>
  <si>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有</t>
    <rPh sb="0" eb="1">
      <t>アリ</t>
    </rPh>
    <phoneticPr fontId="3"/>
  </si>
  <si>
    <t>従有</t>
    <rPh sb="0" eb="1">
      <t>ジュウ</t>
    </rPh>
    <rPh sb="1" eb="2">
      <t>アリ</t>
    </rPh>
    <phoneticPr fontId="3"/>
  </si>
  <si>
    <t>生命保険料の金額</t>
    <rPh sb="0" eb="2">
      <t>セイメイ</t>
    </rPh>
    <rPh sb="2" eb="5">
      <t>ホケンリョウ</t>
    </rPh>
    <rPh sb="6" eb="8">
      <t>キンガク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</si>
  <si>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</si>
  <si>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（配偶者を除く。）</t>
    <rPh sb="1" eb="4">
      <t>ハイグウシャ</t>
    </rPh>
    <rPh sb="5" eb="6">
      <t>ノゾ</t>
    </rPh>
    <phoneticPr fontId="3"/>
  </si>
  <si>
    <t>　　の有無等</t>
    <rPh sb="3" eb="5">
      <t>ウム</t>
    </rPh>
    <rPh sb="5" eb="6">
      <t>トウ</t>
    </rPh>
    <phoneticPr fontId="3"/>
  </si>
  <si>
    <t>生命保険</t>
    <rPh sb="0" eb="2">
      <t>セイメイ</t>
    </rPh>
    <rPh sb="2" eb="4">
      <t>ホケン</t>
    </rPh>
    <phoneticPr fontId="3"/>
  </si>
  <si>
    <t>料の金額</t>
    <rPh sb="0" eb="1">
      <t>リョウ</t>
    </rPh>
    <rPh sb="2" eb="4">
      <t>キンガク</t>
    </rPh>
    <phoneticPr fontId="3"/>
  </si>
  <si>
    <t>の内訳</t>
    <rPh sb="1" eb="3">
      <t>ウチワケ</t>
    </rPh>
    <phoneticPr fontId="3"/>
  </si>
  <si>
    <t>保険料</t>
    <rPh sb="0" eb="3">
      <t>ホケンリョウ</t>
    </rPh>
    <phoneticPr fontId="3"/>
  </si>
  <si>
    <t>の金額</t>
    <rPh sb="1" eb="3">
      <t>キンガク</t>
    </rPh>
    <phoneticPr fontId="3"/>
  </si>
  <si>
    <t>年金保険</t>
    <rPh sb="0" eb="2">
      <t>ネンキン</t>
    </rPh>
    <rPh sb="2" eb="4">
      <t>ホケン</t>
    </rPh>
    <phoneticPr fontId="3"/>
  </si>
  <si>
    <t>（源泉・特別）</t>
    <rPh sb="1" eb="3">
      <t>ゲンセン</t>
    </rPh>
    <rPh sb="4" eb="6">
      <t>トクベツ</t>
    </rPh>
    <phoneticPr fontId="3"/>
  </si>
  <si>
    <t>控除対象</t>
    <rPh sb="0" eb="2">
      <t>コウジョ</t>
    </rPh>
    <rPh sb="2" eb="4">
      <t>タイショウ</t>
    </rPh>
    <phoneticPr fontId="3"/>
  </si>
  <si>
    <t>(ﾌﾘｶﾞﾅ)</t>
    <phoneticPr fontId="3"/>
  </si>
  <si>
    <t>氏名</t>
    <rPh sb="0" eb="2">
      <t>シメイ</t>
    </rPh>
    <phoneticPr fontId="3"/>
  </si>
  <si>
    <t>の合計</t>
    <rPh sb="1" eb="3">
      <t>ゴウケイ</t>
    </rPh>
    <phoneticPr fontId="3"/>
  </si>
  <si>
    <t>所得</t>
    <rPh sb="0" eb="2">
      <t>ショトク</t>
    </rPh>
    <phoneticPr fontId="3"/>
  </si>
  <si>
    <t>旧長期</t>
    <rPh sb="0" eb="1">
      <t>キュウ</t>
    </rPh>
    <rPh sb="1" eb="3">
      <t>チョウキ</t>
    </rPh>
    <phoneticPr fontId="3"/>
  </si>
  <si>
    <t>損害保険</t>
    <rPh sb="0" eb="2">
      <t>ソンガイ</t>
    </rPh>
    <rPh sb="2" eb="4">
      <t>ホケン</t>
    </rPh>
    <phoneticPr fontId="3"/>
  </si>
  <si>
    <t>国民年金</t>
    <rPh sb="0" eb="2">
      <t>コクミン</t>
    </rPh>
    <rPh sb="2" eb="4">
      <t>ネンキン</t>
    </rPh>
    <phoneticPr fontId="3"/>
  </si>
  <si>
    <t>保険料等</t>
    <rPh sb="0" eb="3">
      <t>ホケンリョウ</t>
    </rPh>
    <rPh sb="3" eb="4">
      <t>トウ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</si>
  <si>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</si>
  <si>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</si>
  <si>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</si>
  <si>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乙欄</t>
    <rPh sb="0" eb="1">
      <t>オツ</t>
    </rPh>
    <rPh sb="1" eb="2">
      <t>ラン</t>
    </rPh>
    <phoneticPr fontId="3"/>
  </si>
  <si>
    <t>災害者</t>
    <rPh sb="0" eb="2">
      <t>サイガイ</t>
    </rPh>
    <rPh sb="2" eb="3">
      <t>シャ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</si>
  <si>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</si>
  <si>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市民税</t>
    <rPh sb="0" eb="3">
      <t>シミンゼイ</t>
    </rPh>
    <phoneticPr fontId="3"/>
  </si>
  <si>
    <t>所得割</t>
    <rPh sb="0" eb="2">
      <t>ショトク</t>
    </rPh>
    <rPh sb="2" eb="3">
      <t>ワリ</t>
    </rPh>
    <phoneticPr fontId="3"/>
  </si>
  <si>
    <t>均等割</t>
    <rPh sb="0" eb="3">
      <t>キントウワ</t>
    </rPh>
    <phoneticPr fontId="3"/>
  </si>
  <si>
    <t>県民税</t>
    <rPh sb="0" eb="3">
      <t>ケンミンゼイ</t>
    </rPh>
    <phoneticPr fontId="3"/>
  </si>
  <si>
    <t>配偶者控除</t>
    <rPh sb="0" eb="3">
      <t>ハイグウシャ</t>
    </rPh>
    <rPh sb="3" eb="5">
      <t>コウジョ</t>
    </rPh>
    <phoneticPr fontId="3"/>
  </si>
  <si>
    <t>扶養控除</t>
    <rPh sb="0" eb="2">
      <t>フヨウ</t>
    </rPh>
    <rPh sb="2" eb="4">
      <t>コウジョ</t>
    </rPh>
    <phoneticPr fontId="3"/>
  </si>
  <si>
    <t>基礎控除</t>
    <rPh sb="0" eb="2">
      <t>キソ</t>
    </rPh>
    <rPh sb="2" eb="4">
      <t>コウジョ</t>
    </rPh>
    <phoneticPr fontId="3"/>
  </si>
  <si>
    <t>年税額</t>
    <rPh sb="0" eb="3">
      <t>ネンゼイガク</t>
    </rPh>
    <phoneticPr fontId="3"/>
  </si>
  <si>
    <t>令和２年度課税証明書</t>
    <rPh sb="0" eb="2">
      <t>レイワ</t>
    </rPh>
    <rPh sb="3" eb="5">
      <t>ネンド</t>
    </rPh>
    <rPh sb="5" eb="7">
      <t>カゼイ</t>
    </rPh>
    <rPh sb="7" eb="9">
      <t>ショウメイ</t>
    </rPh>
    <rPh sb="9" eb="10">
      <t>ショ</t>
    </rPh>
    <phoneticPr fontId="3"/>
  </si>
  <si>
    <t>賦課期日現在の</t>
    <rPh sb="0" eb="2">
      <t>フカ</t>
    </rPh>
    <rPh sb="2" eb="4">
      <t>キジツ</t>
    </rPh>
    <rPh sb="4" eb="6">
      <t>ゲンザイ</t>
    </rPh>
    <phoneticPr fontId="3"/>
  </si>
  <si>
    <t>住所及び氏名</t>
    <rPh sb="0" eb="2">
      <t>ジュウショ</t>
    </rPh>
    <rPh sb="2" eb="3">
      <t>オヨ</t>
    </rPh>
    <rPh sb="4" eb="6">
      <t>シメイ</t>
    </rPh>
    <phoneticPr fontId="3"/>
  </si>
  <si>
    <t>令和元年分の所得の内容</t>
    <rPh sb="0" eb="2">
      <t>レイワ</t>
    </rPh>
    <rPh sb="2" eb="4">
      <t>ガンネン</t>
    </rPh>
    <rPh sb="4" eb="5">
      <t>ブン</t>
    </rPh>
    <rPh sb="6" eb="8">
      <t>ショトク</t>
    </rPh>
    <rPh sb="9" eb="11">
      <t>ナイヨウ</t>
    </rPh>
    <phoneticPr fontId="3"/>
  </si>
  <si>
    <t>所得控除の内容</t>
    <rPh sb="0" eb="2">
      <t>ショトク</t>
    </rPh>
    <rPh sb="2" eb="4">
      <t>コウジョ</t>
    </rPh>
    <rPh sb="5" eb="7">
      <t>ナイヨウ</t>
    </rPh>
    <phoneticPr fontId="3"/>
  </si>
  <si>
    <t>令和２年度市・県民税</t>
    <rPh sb="0" eb="2">
      <t>レイワ</t>
    </rPh>
    <rPh sb="3" eb="5">
      <t>ネンド</t>
    </rPh>
    <rPh sb="4" eb="5">
      <t>ド</t>
    </rPh>
    <rPh sb="5" eb="6">
      <t>シ</t>
    </rPh>
    <rPh sb="7" eb="10">
      <t>ケンミンゼイ</t>
    </rPh>
    <phoneticPr fontId="3"/>
  </si>
  <si>
    <t>給与収入</t>
    <rPh sb="0" eb="2">
      <t>キュウヨ</t>
    </rPh>
    <rPh sb="2" eb="4">
      <t>シュウニュウ</t>
    </rPh>
    <phoneticPr fontId="3"/>
  </si>
  <si>
    <t>社会保険料控除</t>
    <rPh sb="0" eb="2">
      <t>シャカイ</t>
    </rPh>
    <rPh sb="2" eb="5">
      <t>ホケンリョウ</t>
    </rPh>
    <rPh sb="5" eb="7">
      <t>コウジョ</t>
    </rPh>
    <phoneticPr fontId="3"/>
  </si>
  <si>
    <t>公的年金等収入</t>
    <rPh sb="0" eb="2">
      <t>コウテキ</t>
    </rPh>
    <rPh sb="2" eb="4">
      <t>ネンキン</t>
    </rPh>
    <rPh sb="4" eb="5">
      <t>トウ</t>
    </rPh>
    <rPh sb="5" eb="7">
      <t>シュウニュウ</t>
    </rPh>
    <phoneticPr fontId="3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</si>
  <si>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3"/>
  </si>
  <si>
    <t>所得の種類</t>
    <rPh sb="0" eb="2">
      <t>ショトク</t>
    </rPh>
    <rPh sb="3" eb="5">
      <t>シュルイ</t>
    </rPh>
    <phoneticPr fontId="3"/>
  </si>
  <si>
    <t>給与所得</t>
    <rPh sb="0" eb="2">
      <t>キュウヨ</t>
    </rPh>
    <rPh sb="2" eb="4">
      <t>ショトク</t>
    </rPh>
    <phoneticPr fontId="3"/>
  </si>
  <si>
    <t>合計</t>
    <rPh sb="0" eb="2">
      <t>ゴウケイ</t>
    </rPh>
    <phoneticPr fontId="3"/>
  </si>
  <si>
    <t>（以下余白）</t>
    <rPh sb="1" eb="3">
      <t>イカ</t>
    </rPh>
    <rPh sb="3" eb="5">
      <t>ヨハク</t>
    </rPh>
    <phoneticPr fontId="3"/>
  </si>
  <si>
    <t>配偶者特別控除</t>
    <rPh sb="0" eb="3">
      <t>ハイグウシャ</t>
    </rPh>
    <rPh sb="3" eb="5">
      <t>トクベツ</t>
    </rPh>
    <rPh sb="5" eb="7">
      <t>コウジョ</t>
    </rPh>
    <phoneticPr fontId="3"/>
  </si>
  <si>
    <t>令和２年度課税標準額</t>
    <rPh sb="0" eb="2">
      <t>レイワ</t>
    </rPh>
    <rPh sb="3" eb="5">
      <t>ネンド</t>
    </rPh>
    <rPh sb="5" eb="7">
      <t>カゼイ</t>
    </rPh>
    <rPh sb="7" eb="9">
      <t>ヒョウジュン</t>
    </rPh>
    <rPh sb="9" eb="10">
      <t>ガク</t>
    </rPh>
    <phoneticPr fontId="3"/>
  </si>
  <si>
    <t>総所得分</t>
    <rPh sb="0" eb="3">
      <t>ソウショトク</t>
    </rPh>
    <rPh sb="3" eb="4">
      <t>ブン</t>
    </rPh>
    <phoneticPr fontId="3"/>
  </si>
  <si>
    <t>分離課税分</t>
    <rPh sb="0" eb="2">
      <t>ブンリ</t>
    </rPh>
    <rPh sb="2" eb="4">
      <t>カゼイ</t>
    </rPh>
    <rPh sb="4" eb="5">
      <t>ブン</t>
    </rPh>
    <phoneticPr fontId="3"/>
  </si>
  <si>
    <t>扶養等
の内訳</t>
    <rPh sb="0" eb="2">
      <t>フヨウ</t>
    </rPh>
    <rPh sb="2" eb="3">
      <t>トウ</t>
    </rPh>
    <rPh sb="5" eb="7">
      <t>ウチワケ</t>
    </rPh>
    <phoneticPr fontId="3"/>
  </si>
  <si>
    <t>普通障害</t>
    <rPh sb="0" eb="2">
      <t>フツウ</t>
    </rPh>
    <rPh sb="2" eb="4">
      <t>ショウガイ</t>
    </rPh>
    <phoneticPr fontId="3"/>
  </si>
  <si>
    <t>所得控除の合計</t>
    <rPh sb="0" eb="2">
      <t>ショトク</t>
    </rPh>
    <rPh sb="2" eb="4">
      <t>コウジョ</t>
    </rPh>
    <rPh sb="5" eb="7">
      <t>ゴウケイ</t>
    </rPh>
    <phoneticPr fontId="3"/>
  </si>
  <si>
    <t>所得の合計</t>
    <rPh sb="0" eb="2">
      <t>ショトク</t>
    </rPh>
    <rPh sb="3" eb="5">
      <t>ゴウケイ</t>
    </rPh>
    <phoneticPr fontId="3"/>
  </si>
  <si>
    <t>繰越控除</t>
    <rPh sb="0" eb="2">
      <t>クリコシ</t>
    </rPh>
    <rPh sb="2" eb="4">
      <t>コウジョ</t>
    </rPh>
    <phoneticPr fontId="3"/>
  </si>
  <si>
    <t>年少</t>
    <rPh sb="0" eb="2">
      <t>ネンショウ</t>
    </rPh>
    <phoneticPr fontId="3"/>
  </si>
  <si>
    <t>備考</t>
    <rPh sb="0" eb="2">
      <t>ビコウ</t>
    </rPh>
    <phoneticPr fontId="3"/>
  </si>
  <si>
    <t>無</t>
    <rPh sb="0" eb="1">
      <t>ナシ</t>
    </rPh>
    <phoneticPr fontId="3"/>
  </si>
  <si>
    <t>**********</t>
    <phoneticPr fontId="3"/>
  </si>
  <si>
    <t>**********</t>
    <phoneticPr fontId="3"/>
  </si>
  <si>
    <t>******</t>
    <phoneticPr fontId="3"/>
  </si>
  <si>
    <t>配偶者（特別）控除の有無</t>
    <rPh sb="0" eb="3">
      <t>ハイグウシャ</t>
    </rPh>
    <rPh sb="4" eb="6">
      <t>トクベツ</t>
    </rPh>
    <rPh sb="7" eb="9">
      <t>コウジョ</t>
    </rPh>
    <rPh sb="10" eb="12">
      <t>ウム</t>
    </rPh>
    <phoneticPr fontId="3"/>
  </si>
  <si>
    <t>扶養親族数</t>
    <rPh sb="0" eb="2">
      <t>フヨウ</t>
    </rPh>
    <rPh sb="2" eb="4">
      <t>シンゾク</t>
    </rPh>
    <rPh sb="4" eb="5">
      <t>スウ</t>
    </rPh>
    <phoneticPr fontId="3"/>
  </si>
  <si>
    <t>　16歳未満</t>
    <rPh sb="3" eb="6">
      <t>サイミマン</t>
    </rPh>
    <phoneticPr fontId="3"/>
  </si>
  <si>
    <t>　19歳未満</t>
    <rPh sb="3" eb="6">
      <t>サイミマン</t>
    </rPh>
    <phoneticPr fontId="3"/>
  </si>
  <si>
    <t>　16歳以上</t>
    <rPh sb="3" eb="6">
      <t>サイイジョウ</t>
    </rPh>
    <phoneticPr fontId="3"/>
  </si>
  <si>
    <t>500万基準</t>
    <rPh sb="3" eb="4">
      <t>マン</t>
    </rPh>
    <rPh sb="4" eb="6">
      <t>キジュン</t>
    </rPh>
    <phoneticPr fontId="3"/>
  </si>
  <si>
    <t>16～19⇒</t>
    <phoneticPr fontId="3"/>
  </si>
  <si>
    <t>～16↓</t>
    <phoneticPr fontId="3"/>
  </si>
  <si>
    <t>学年：</t>
    <rPh sb="0" eb="2">
      <t>ガクネン</t>
    </rPh>
    <phoneticPr fontId="3"/>
  </si>
  <si>
    <t>B</t>
    <phoneticPr fontId="3"/>
  </si>
  <si>
    <t>A</t>
    <phoneticPr fontId="3"/>
  </si>
  <si>
    <t>C</t>
    <phoneticPr fontId="3"/>
  </si>
  <si>
    <t>外</t>
    <rPh sb="0" eb="1">
      <t>ガイ</t>
    </rPh>
    <phoneticPr fontId="3"/>
  </si>
  <si>
    <t>基準</t>
    <rPh sb="0" eb="2">
      <t>キジュン</t>
    </rPh>
    <phoneticPr fontId="3"/>
  </si>
  <si>
    <t>合計</t>
    <rPh sb="0" eb="2">
      <t>ゴウケイ</t>
    </rPh>
    <phoneticPr fontId="3"/>
  </si>
  <si>
    <t>↑実際の扶養親族数と異なる</t>
    <rPh sb="1" eb="3">
      <t>ジッサイ</t>
    </rPh>
    <rPh sb="4" eb="6">
      <t>フヨウ</t>
    </rPh>
    <rPh sb="6" eb="8">
      <t>シンゾク</t>
    </rPh>
    <rPh sb="8" eb="9">
      <t>スウ</t>
    </rPh>
    <rPh sb="10" eb="11">
      <t>コト</t>
    </rPh>
    <phoneticPr fontId="3"/>
  </si>
  <si>
    <t>場合は修正してください</t>
    <rPh sb="0" eb="2">
      <t>バアイ</t>
    </rPh>
    <rPh sb="3" eb="5">
      <t>シュウセイ</t>
    </rPh>
    <phoneticPr fontId="3"/>
  </si>
  <si>
    <t>※　この試算表は、標準的な給与所得者の住民税の計算方法による試算ですので、実際の住民税の課税と異なる場合があります。</t>
    <rPh sb="4" eb="7">
      <t>シサンヒョウ</t>
    </rPh>
    <rPh sb="9" eb="11">
      <t>ヒョウジュン</t>
    </rPh>
    <rPh sb="11" eb="12">
      <t>テキ</t>
    </rPh>
    <rPh sb="13" eb="15">
      <t>キュウヨ</t>
    </rPh>
    <rPh sb="15" eb="17">
      <t>ショトク</t>
    </rPh>
    <rPh sb="17" eb="18">
      <t>シャ</t>
    </rPh>
    <rPh sb="19" eb="22">
      <t>ジュウミンゼイ</t>
    </rPh>
    <rPh sb="23" eb="25">
      <t>ケイサン</t>
    </rPh>
    <rPh sb="25" eb="27">
      <t>ホウホウ</t>
    </rPh>
    <rPh sb="30" eb="32">
      <t>シサン</t>
    </rPh>
    <rPh sb="37" eb="39">
      <t>ジッサイ</t>
    </rPh>
    <rPh sb="40" eb="43">
      <t>ジュウミンゼイ</t>
    </rPh>
    <rPh sb="44" eb="46">
      <t>カゼイ</t>
    </rPh>
    <rPh sb="47" eb="48">
      <t>コト</t>
    </rPh>
    <rPh sb="50" eb="52">
      <t>バアイ</t>
    </rPh>
    <phoneticPr fontId="3"/>
  </si>
  <si>
    <t>課税標準</t>
    <rPh sb="0" eb="2">
      <t>カゼイ</t>
    </rPh>
    <rPh sb="2" eb="4">
      <t>ヒョウジュン</t>
    </rPh>
    <phoneticPr fontId="3"/>
  </si>
  <si>
    <t>課税標準</t>
    <rPh sb="0" eb="4">
      <t>カゼイヒョウジュン</t>
    </rPh>
    <phoneticPr fontId="3"/>
  </si>
  <si>
    <t>障がい者の数（本人除く）</t>
    <rPh sb="0" eb="1">
      <t>ショウ</t>
    </rPh>
    <rPh sb="3" eb="4">
      <t>シャ</t>
    </rPh>
    <rPh sb="5" eb="6">
      <t>カズ</t>
    </rPh>
    <rPh sb="7" eb="9">
      <t>ホンニン</t>
    </rPh>
    <rPh sb="9" eb="10">
      <t>ノゾ</t>
    </rPh>
    <phoneticPr fontId="3"/>
  </si>
  <si>
    <t>　また、この試算表で実際の補助額の審査を行うものではありません。</t>
    <rPh sb="6" eb="9">
      <t>シサンヒョウ</t>
    </rPh>
    <rPh sb="10" eb="12">
      <t>ジッサイ</t>
    </rPh>
    <rPh sb="13" eb="15">
      <t>ホジョ</t>
    </rPh>
    <rPh sb="15" eb="16">
      <t>ガク</t>
    </rPh>
    <rPh sb="17" eb="19">
      <t>シンサ</t>
    </rPh>
    <rPh sb="20" eb="21">
      <t>オコナ</t>
    </rPh>
    <phoneticPr fontId="3"/>
  </si>
  <si>
    <t>480000&lt;</t>
    <phoneticPr fontId="3"/>
  </si>
  <si>
    <t>500000&lt;=</t>
    <phoneticPr fontId="3"/>
  </si>
  <si>
    <t>550000&lt;=</t>
    <phoneticPr fontId="3"/>
  </si>
  <si>
    <t>ひとり親（父）</t>
    <rPh sb="3" eb="4">
      <t>オヤ</t>
    </rPh>
    <rPh sb="5" eb="6">
      <t>チチ</t>
    </rPh>
    <phoneticPr fontId="3"/>
  </si>
  <si>
    <t>ひとり親（母）</t>
    <rPh sb="3" eb="4">
      <t>オヤ</t>
    </rPh>
    <rPh sb="5" eb="6">
      <t>ハハ</t>
    </rPh>
    <phoneticPr fontId="3"/>
  </si>
  <si>
    <t>（税制上の）ひとり親</t>
    <rPh sb="1" eb="4">
      <t>ゼイセイジョウ</t>
    </rPh>
    <rPh sb="9" eb="10">
      <t>オヤ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</si>
  <si>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</si>
  <si>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</si>
  <si>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同居老親</t>
    <rPh sb="0" eb="2">
      <t>ドウキョ</t>
    </rPh>
    <rPh sb="2" eb="4">
      <t>ロウシン</t>
    </rPh>
    <phoneticPr fontId="3"/>
  </si>
  <si>
    <t>障がい</t>
    <rPh sb="0" eb="1">
      <t>ショウ</t>
    </rPh>
    <phoneticPr fontId="3"/>
  </si>
  <si>
    <t>その他障がい</t>
    <rPh sb="2" eb="3">
      <t>タ</t>
    </rPh>
    <rPh sb="3" eb="4">
      <t>ショウ</t>
    </rPh>
    <phoneticPr fontId="3"/>
  </si>
  <si>
    <t>特別障がい（同居）</t>
    <rPh sb="0" eb="2">
      <t>トクベツ</t>
    </rPh>
    <rPh sb="2" eb="3">
      <t>ショウ</t>
    </rPh>
    <rPh sb="6" eb="8">
      <t>ドウキョ</t>
    </rPh>
    <phoneticPr fontId="3"/>
  </si>
  <si>
    <t>1330000&lt;</t>
    <phoneticPr fontId="3"/>
  </si>
  <si>
    <t>1250000&lt;</t>
    <phoneticPr fontId="3"/>
  </si>
  <si>
    <t>1300000&lt;</t>
    <phoneticPr fontId="3"/>
  </si>
  <si>
    <t>＜本人該当区分＞</t>
    <phoneticPr fontId="3"/>
  </si>
  <si>
    <t>↑給与等の所得金額が</t>
    <rPh sb="1" eb="3">
      <t>キュウヨ</t>
    </rPh>
    <rPh sb="3" eb="4">
      <t>トウ</t>
    </rPh>
    <rPh sb="5" eb="7">
      <t>ショトク</t>
    </rPh>
    <rPh sb="7" eb="9">
      <t>キンガク</t>
    </rPh>
    <phoneticPr fontId="3"/>
  </si>
  <si>
    <t>　2,500万円を超える場合、調整控除額を0円にしてください。</t>
    <phoneticPr fontId="3"/>
  </si>
  <si>
    <t>一般寡婦</t>
    <rPh sb="0" eb="2">
      <t>イッパン</t>
    </rPh>
    <rPh sb="2" eb="4">
      <t>カフ</t>
    </rPh>
    <phoneticPr fontId="3"/>
  </si>
  <si>
    <t>　</t>
    <phoneticPr fontId="3"/>
  </si>
  <si>
    <t>早生まれ　：</t>
    <phoneticPr fontId="3"/>
  </si>
  <si>
    <r>
      <t>↑</t>
    </r>
    <r>
      <rPr>
        <sz val="10"/>
        <color rgb="FFFF0000"/>
        <rFont val="メイリオ"/>
        <family val="3"/>
        <charset val="128"/>
      </rPr>
      <t>生徒本人</t>
    </r>
    <r>
      <rPr>
        <sz val="10"/>
        <rFont val="メイリオ"/>
        <family val="3"/>
        <charset val="128"/>
      </rPr>
      <t>が早生まれ</t>
    </r>
    <r>
      <rPr>
        <sz val="10"/>
        <rFont val="メイリオ"/>
        <family val="2"/>
        <charset val="128"/>
      </rPr>
      <t>（平成18年1月2日～4月1日生まれ）</t>
    </r>
    <phoneticPr fontId="3"/>
  </si>
  <si>
    <t>　の場合、〇を選択してください。</t>
    <phoneticPr fontId="3"/>
  </si>
  <si>
    <t>扶養親族数（早生まれ考慮）</t>
    <rPh sb="0" eb="2">
      <t>フヨウ</t>
    </rPh>
    <rPh sb="2" eb="4">
      <t>シンゾク</t>
    </rPh>
    <rPh sb="4" eb="5">
      <t>スウ</t>
    </rPh>
    <rPh sb="6" eb="8">
      <t>ハヤウ</t>
    </rPh>
    <rPh sb="10" eb="12">
      <t>コウリョ</t>
    </rPh>
    <phoneticPr fontId="3"/>
  </si>
  <si>
    <t>基準Aマトリクス</t>
    <rPh sb="0" eb="2">
      <t>キジュン</t>
    </rPh>
    <phoneticPr fontId="3"/>
  </si>
  <si>
    <t>判定額（早生まれ考慮）</t>
    <rPh sb="0" eb="2">
      <t>ハンテイ</t>
    </rPh>
    <rPh sb="2" eb="3">
      <t>ガク</t>
    </rPh>
    <rPh sb="4" eb="6">
      <t>ハヤウ</t>
    </rPh>
    <rPh sb="8" eb="10">
      <t>コウリョ</t>
    </rPh>
    <phoneticPr fontId="3"/>
  </si>
  <si>
    <t>保護者1</t>
    <rPh sb="0" eb="3">
      <t>ホゴシャ</t>
    </rPh>
    <phoneticPr fontId="3"/>
  </si>
  <si>
    <t>保護者2</t>
    <rPh sb="0" eb="3">
      <t>ホゴシャ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</si>
  <si>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</si>
  <si>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課税標準額</t>
    <rPh sb="0" eb="5">
      <t>カゼイヒョウジュンガク</t>
    </rPh>
    <phoneticPr fontId="3"/>
  </si>
  <si>
    <t>調整控除額</t>
    <rPh sb="0" eb="2">
      <t>チョウセイ</t>
    </rPh>
    <rPh sb="2" eb="4">
      <t>コウジョ</t>
    </rPh>
    <rPh sb="4" eb="5">
      <t>ガク</t>
    </rPh>
    <phoneticPr fontId="3"/>
  </si>
  <si>
    <t>調整控除差引前</t>
    <rPh sb="0" eb="2">
      <t>チョウセイ</t>
    </rPh>
    <rPh sb="2" eb="4">
      <t>コウジョ</t>
    </rPh>
    <rPh sb="4" eb="6">
      <t>サシヒキ</t>
    </rPh>
    <rPh sb="6" eb="7">
      <t>マエ</t>
    </rPh>
    <phoneticPr fontId="3"/>
  </si>
  <si>
    <t>小さい方の課税標準額</t>
    <rPh sb="0" eb="1">
      <t>チイ</t>
    </rPh>
    <rPh sb="3" eb="4">
      <t>ホウ</t>
    </rPh>
    <rPh sb="5" eb="10">
      <t>カゼイヒョウジュンガク</t>
    </rPh>
    <phoneticPr fontId="3"/>
  </si>
  <si>
    <t>大きい方の課税標準額</t>
    <rPh sb="0" eb="1">
      <t>オオ</t>
    </rPh>
    <rPh sb="3" eb="4">
      <t>ホウ</t>
    </rPh>
    <rPh sb="5" eb="10">
      <t>カゼイヒョウジュンガク</t>
    </rPh>
    <phoneticPr fontId="3"/>
  </si>
  <si>
    <t>大きい方の課税標準額-330000</t>
    <rPh sb="0" eb="1">
      <t>オオ</t>
    </rPh>
    <rPh sb="3" eb="4">
      <t>ホウ</t>
    </rPh>
    <rPh sb="5" eb="10">
      <t>カゼイヒョウジュンガク</t>
    </rPh>
    <phoneticPr fontId="3"/>
  </si>
  <si>
    <t>計</t>
    <rPh sb="0" eb="1">
      <t>ケイ</t>
    </rPh>
    <phoneticPr fontId="3"/>
  </si>
  <si>
    <t>調整控除額計</t>
    <rPh sb="0" eb="4">
      <t>チョウセイコウジョ</t>
    </rPh>
    <rPh sb="4" eb="5">
      <t>ガク</t>
    </rPh>
    <rPh sb="5" eb="6">
      <t>ケイ</t>
    </rPh>
    <phoneticPr fontId="3"/>
  </si>
  <si>
    <t>判定額</t>
    <rPh sb="0" eb="2">
      <t>ハンテイ</t>
    </rPh>
    <rPh sb="2" eb="3">
      <t>ガク</t>
    </rPh>
    <phoneticPr fontId="3"/>
  </si>
  <si>
    <t>判定額（早生まれ考慮なし）</t>
    <rPh sb="0" eb="2">
      <t>ハンテイ</t>
    </rPh>
    <rPh sb="2" eb="3">
      <t>ガク</t>
    </rPh>
    <rPh sb="4" eb="6">
      <t>ハヤウ</t>
    </rPh>
    <rPh sb="8" eb="10">
      <t>コウリョ</t>
    </rPh>
    <phoneticPr fontId="3"/>
  </si>
  <si>
    <t>保護者１</t>
    <rPh sb="0" eb="3">
      <t>ホゴシャ</t>
    </rPh>
    <phoneticPr fontId="3"/>
  </si>
  <si>
    <t>保護者２</t>
    <rPh sb="0" eb="3">
      <t>ホゴシャ</t>
    </rPh>
    <phoneticPr fontId="3"/>
  </si>
  <si>
    <t>判定額計</t>
    <rPh sb="0" eb="2">
      <t>ハンテイ</t>
    </rPh>
    <rPh sb="2" eb="3">
      <t>ガク</t>
    </rPh>
    <rPh sb="3" eb="4">
      <t>ケイ</t>
    </rPh>
    <phoneticPr fontId="3"/>
  </si>
  <si>
    <t>z</t>
    <phoneticPr fontId="3"/>
  </si>
  <si>
    <t>政令指定都市以外</t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</si>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</sst>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0"/>
      <color theme="0"/>
      <name val="メイリオ"/>
      <family val="3"/>
      <charset val="128"/>
    </font>
    <font>
      <sz val="10"/>
      <name val="メイリオ"/>
      <family val="2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 indent="1"/>
    </xf>
    <xf numFmtId="0" fontId="8" fillId="0" borderId="37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38" fontId="8" fillId="0" borderId="38" xfId="1" applyFont="1" applyBorder="1" applyAlignment="1">
      <alignment horizontal="distributed" vertical="center"/>
    </xf>
    <xf numFmtId="0" fontId="14" fillId="0" borderId="33" xfId="0" applyFont="1" applyBorder="1" applyAlignment="1">
      <alignment horizontal="distributed" vertical="center"/>
    </xf>
    <xf numFmtId="38" fontId="8" fillId="0" borderId="46" xfId="1" applyFont="1" applyBorder="1" applyAlignment="1">
      <alignment horizontal="distributed" vertical="center" indent="1"/>
    </xf>
    <xf numFmtId="38" fontId="8" fillId="0" borderId="46" xfId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8" fontId="6" fillId="2" borderId="1" xfId="1" applyFont="1" applyFill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8" fontId="6" fillId="2" borderId="2" xfId="1" applyFont="1" applyFill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38" fontId="6" fillId="2" borderId="1" xfId="0" applyNumberFormat="1" applyFont="1" applyFill="1" applyBorder="1" applyAlignment="1" applyProtection="1">
      <alignment horizontal="center" vertical="center"/>
      <protection locked="0"/>
    </xf>
    <xf numFmtId="38" fontId="6" fillId="0" borderId="2" xfId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38" fontId="6" fillId="2" borderId="15" xfId="1" applyFont="1" applyFill="1" applyBorder="1" applyProtection="1">
      <alignment vertical="center"/>
      <protection locked="0"/>
    </xf>
    <xf numFmtId="0" fontId="5" fillId="0" borderId="50" xfId="0" applyFont="1" applyBorder="1" applyProtection="1">
      <alignment vertical="center"/>
      <protection locked="0"/>
    </xf>
    <xf numFmtId="0" fontId="5" fillId="0" borderId="51" xfId="0" applyFont="1" applyBorder="1" applyProtection="1">
      <alignment vertical="center"/>
      <protection locked="0"/>
    </xf>
    <xf numFmtId="38" fontId="5" fillId="2" borderId="52" xfId="1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38" fontId="6" fillId="0" borderId="0" xfId="1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Protection="1">
      <alignment vertical="center"/>
      <protection locked="0"/>
    </xf>
    <xf numFmtId="0" fontId="4" fillId="0" borderId="10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0" fontId="4" fillId="0" borderId="9" xfId="0" applyFont="1" applyBorder="1">
      <alignment vertical="center"/>
    </xf>
    <xf numFmtId="176" fontId="4" fillId="0" borderId="13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8" fillId="0" borderId="33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37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3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textRotation="255"/>
    </xf>
    <xf numFmtId="0" fontId="8" fillId="0" borderId="40" xfId="0" applyFont="1" applyBorder="1" applyAlignment="1">
      <alignment horizontal="distributed" vertical="center" textRotation="255"/>
    </xf>
    <xf numFmtId="0" fontId="8" fillId="0" borderId="46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38" fontId="8" fillId="0" borderId="4" xfId="1" applyFont="1" applyBorder="1" applyAlignment="1">
      <alignment horizontal="distributed" vertical="center"/>
    </xf>
    <xf numFmtId="38" fontId="8" fillId="0" borderId="2" xfId="1" applyFont="1" applyBorder="1" applyAlignment="1">
      <alignment horizontal="distributed" vertical="center"/>
    </xf>
    <xf numFmtId="38" fontId="8" fillId="0" borderId="39" xfId="1" applyFont="1" applyBorder="1" applyAlignment="1">
      <alignment horizontal="distributed" vertical="center"/>
    </xf>
    <xf numFmtId="38" fontId="8" fillId="0" borderId="4" xfId="1" applyFont="1" applyFill="1" applyBorder="1" applyAlignment="1">
      <alignment horizontal="distributed" vertical="center" indent="1"/>
    </xf>
    <xf numFmtId="38" fontId="8" fillId="0" borderId="2" xfId="1" applyFont="1" applyFill="1" applyBorder="1" applyAlignment="1">
      <alignment horizontal="distributed" vertical="center" indent="1"/>
    </xf>
    <xf numFmtId="38" fontId="8" fillId="0" borderId="39" xfId="1" applyFont="1" applyFill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43" xfId="0" applyFont="1" applyBorder="1" applyAlignment="1">
      <alignment horizontal="distributed" vertical="center" indent="1"/>
    </xf>
    <xf numFmtId="0" fontId="8" fillId="0" borderId="41" xfId="0" applyFont="1" applyBorder="1" applyAlignment="1">
      <alignment horizontal="distributed" vertical="center" indent="1"/>
    </xf>
    <xf numFmtId="0" fontId="8" fillId="0" borderId="44" xfId="0" applyFont="1" applyBorder="1" applyAlignment="1">
      <alignment horizontal="distributed" vertical="center" indent="1"/>
    </xf>
    <xf numFmtId="0" fontId="8" fillId="0" borderId="31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distributed"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3" fontId="12" fillId="0" borderId="6" xfId="0" applyNumberFormat="1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3" fontId="9" fillId="0" borderId="6" xfId="0" applyNumberFormat="1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11" fillId="0" borderId="7" xfId="0" applyFont="1" applyBorder="1" applyAlignment="1">
      <alignment horizontal="distributed" vertical="center" indent="1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indent="1"/>
    </xf>
    <xf numFmtId="0" fontId="11" fillId="0" borderId="2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1" xfId="0" applyFont="1" applyBorder="1">
      <alignment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864985</xdr:colOff>
          <xdr:row>5</xdr:row>
          <xdr:rowOff>49260</xdr:rowOff>
        </xdr:from>
        <xdr:to>
          <xdr:col>17</xdr:col>
          <xdr:colOff>1264249</xdr:colOff>
          <xdr:row>25</xdr:row>
          <xdr:rowOff>190500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源泉徴収票!$B$2:$Q$36" spid="_x0000_s24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43985" y="1107593"/>
              <a:ext cx="5839097" cy="444865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498862</xdr:colOff>
      <xdr:row>10</xdr:row>
      <xdr:rowOff>103054</xdr:rowOff>
    </xdr:from>
    <xdr:to>
      <xdr:col>15</xdr:col>
      <xdr:colOff>335577</xdr:colOff>
      <xdr:row>12</xdr:row>
      <xdr:rowOff>35019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416893" y="2246179"/>
          <a:ext cx="884465" cy="360590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33617</xdr:colOff>
      <xdr:row>13</xdr:row>
      <xdr:rowOff>64354</xdr:rowOff>
    </xdr:from>
    <xdr:to>
      <xdr:col>14</xdr:col>
      <xdr:colOff>549088</xdr:colOff>
      <xdr:row>14</xdr:row>
      <xdr:rowOff>209229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0029264" y="2832207"/>
          <a:ext cx="1322295" cy="357787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369796</xdr:colOff>
      <xdr:row>8</xdr:row>
      <xdr:rowOff>116062</xdr:rowOff>
    </xdr:from>
    <xdr:to>
      <xdr:col>13</xdr:col>
      <xdr:colOff>227263</xdr:colOff>
      <xdr:row>13</xdr:row>
      <xdr:rowOff>116751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7" idx="1"/>
        </xdr:cNvCxnSpPr>
      </xdr:nvCxnSpPr>
      <xdr:spPr>
        <a:xfrm flipH="1" flipV="1">
          <a:off x="4403914" y="1819356"/>
          <a:ext cx="5818996" cy="1065248"/>
        </a:xfrm>
        <a:prstGeom prst="straightConnector1">
          <a:avLst/>
        </a:prstGeom>
        <a:ln w="28575"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15</xdr:col>
      <xdr:colOff>448235</xdr:colOff>
      <xdr:row>13</xdr:row>
      <xdr:rowOff>76279</xdr:rowOff>
    </xdr:from>
    <xdr:to>
      <xdr:col>17</xdr:col>
      <xdr:colOff>920484</xdr:colOff>
      <xdr:row>14</xdr:row>
      <xdr:rowOff>221154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414016" y="2862342"/>
          <a:ext cx="3091624" cy="359187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89808</xdr:rowOff>
    </xdr:from>
    <xdr:to>
      <xdr:col>8</xdr:col>
      <xdr:colOff>231321</xdr:colOff>
      <xdr:row>13</xdr:row>
      <xdr:rowOff>21773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0" y="1722665"/>
          <a:ext cx="6762750" cy="34017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231321</xdr:colOff>
      <xdr:row>12</xdr:row>
      <xdr:rowOff>55791</xdr:rowOff>
    </xdr:from>
    <xdr:to>
      <xdr:col>15</xdr:col>
      <xdr:colOff>900993</xdr:colOff>
      <xdr:row>13</xdr:row>
      <xdr:rowOff>128881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3" idx="1"/>
          <a:endCxn id="24" idx="6"/>
        </xdr:cNvCxnSpPr>
      </xdr:nvCxnSpPr>
      <xdr:spPr>
        <a:xfrm flipH="1" flipV="1">
          <a:off x="6767852" y="2627541"/>
          <a:ext cx="6098922" cy="287403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14</xdr:col>
      <xdr:colOff>102775</xdr:colOff>
      <xdr:row>15</xdr:row>
      <xdr:rowOff>9926</xdr:rowOff>
    </xdr:from>
    <xdr:to>
      <xdr:col>14</xdr:col>
      <xdr:colOff>992843</xdr:colOff>
      <xdr:row>16</xdr:row>
      <xdr:rowOff>145998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0905246" y="3203602"/>
          <a:ext cx="890068" cy="348984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421821</xdr:colOff>
      <xdr:row>14</xdr:row>
      <xdr:rowOff>87466</xdr:rowOff>
    </xdr:from>
    <xdr:to>
      <xdr:col>14</xdr:col>
      <xdr:colOff>100853</xdr:colOff>
      <xdr:row>16</xdr:row>
      <xdr:rowOff>27213</xdr:rowOff>
    </xdr:to>
    <xdr:sp macro="" textlink="">
      <xdr:nvSpPr>
        <xdr:cNvPr id="34" name="フリーフォーム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228645" y="3068231"/>
          <a:ext cx="9674679" cy="365570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6071" h="347961">
              <a:moveTo>
                <a:pt x="7756071" y="252710"/>
              </a:moveTo>
              <a:cubicBezTo>
                <a:pt x="6149294" y="-79531"/>
                <a:pt x="4735286" y="5515"/>
                <a:pt x="3442608" y="21390"/>
              </a:cubicBezTo>
              <a:cubicBezTo>
                <a:pt x="2149930" y="37265"/>
                <a:pt x="947964" y="171067"/>
                <a:pt x="0" y="34796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809224</xdr:colOff>
      <xdr:row>15</xdr:row>
      <xdr:rowOff>26254</xdr:rowOff>
    </xdr:from>
    <xdr:to>
      <xdr:col>17</xdr:col>
      <xdr:colOff>77160</xdr:colOff>
      <xdr:row>16</xdr:row>
      <xdr:rowOff>162326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3595136" y="3219930"/>
          <a:ext cx="960024" cy="348984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347382</xdr:colOff>
      <xdr:row>17</xdr:row>
      <xdr:rowOff>185057</xdr:rowOff>
    </xdr:from>
    <xdr:to>
      <xdr:col>17</xdr:col>
      <xdr:colOff>1485901</xdr:colOff>
      <xdr:row>19</xdr:row>
      <xdr:rowOff>117022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0343029" y="3804557"/>
          <a:ext cx="5620872" cy="35778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54428</xdr:colOff>
      <xdr:row>15</xdr:row>
      <xdr:rowOff>133350</xdr:rowOff>
    </xdr:from>
    <xdr:to>
      <xdr:col>9</xdr:col>
      <xdr:colOff>329292</xdr:colOff>
      <xdr:row>17</xdr:row>
      <xdr:rowOff>65315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320142" y="2582636"/>
          <a:ext cx="4357007" cy="34017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505080</xdr:colOff>
      <xdr:row>17</xdr:row>
      <xdr:rowOff>12918</xdr:rowOff>
    </xdr:from>
    <xdr:to>
      <xdr:col>14</xdr:col>
      <xdr:colOff>363716</xdr:colOff>
      <xdr:row>18</xdr:row>
      <xdr:rowOff>24542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6" idx="1"/>
          <a:endCxn id="37" idx="5"/>
        </xdr:cNvCxnSpPr>
      </xdr:nvCxnSpPr>
      <xdr:spPr>
        <a:xfrm flipH="1" flipV="1">
          <a:off x="6959668" y="3632418"/>
          <a:ext cx="4206519" cy="22453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3</xdr:col>
      <xdr:colOff>95250</xdr:colOff>
      <xdr:row>16</xdr:row>
      <xdr:rowOff>68036</xdr:rowOff>
    </xdr:from>
    <xdr:to>
      <xdr:col>16</xdr:col>
      <xdr:colOff>892968</xdr:colOff>
      <xdr:row>18</xdr:row>
      <xdr:rowOff>18569</xdr:rowOff>
    </xdr:to>
    <xdr:sp macro="" textlink="">
      <xdr:nvSpPr>
        <xdr:cNvPr id="41" name="フリーフォーム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583656" y="3568474"/>
          <a:ext cx="11203781" cy="379158"/>
        </a:xfrm>
        <a:custGeom>
          <a:avLst/>
          <a:gdLst>
            <a:gd name="connsiteX0" fmla="*/ 9116785 w 9116785"/>
            <a:gd name="connsiteY0" fmla="*/ 0 h 423794"/>
            <a:gd name="connsiteX1" fmla="*/ 7796893 w 9116785"/>
            <a:gd name="connsiteY1" fmla="*/ 258535 h 423794"/>
            <a:gd name="connsiteX2" fmla="*/ 3061607 w 9116785"/>
            <a:gd name="connsiteY2" fmla="*/ 421821 h 423794"/>
            <a:gd name="connsiteX3" fmla="*/ 0 w 9116785"/>
            <a:gd name="connsiteY3" fmla="*/ 149678 h 423794"/>
            <a:gd name="connsiteX0" fmla="*/ 9116785 w 9116785"/>
            <a:gd name="connsiteY0" fmla="*/ 0 h 423794"/>
            <a:gd name="connsiteX1" fmla="*/ 7796893 w 9116785"/>
            <a:gd name="connsiteY1" fmla="*/ 258535 h 423794"/>
            <a:gd name="connsiteX2" fmla="*/ 3061607 w 9116785"/>
            <a:gd name="connsiteY2" fmla="*/ 421821 h 423794"/>
            <a:gd name="connsiteX3" fmla="*/ 0 w 9116785"/>
            <a:gd name="connsiteY3" fmla="*/ 149678 h 423794"/>
            <a:gd name="connsiteX0" fmla="*/ 9116785 w 9116785"/>
            <a:gd name="connsiteY0" fmla="*/ 0 h 423794"/>
            <a:gd name="connsiteX1" fmla="*/ 7742464 w 9116785"/>
            <a:gd name="connsiteY1" fmla="*/ 258535 h 423794"/>
            <a:gd name="connsiteX2" fmla="*/ 3061607 w 9116785"/>
            <a:gd name="connsiteY2" fmla="*/ 421821 h 423794"/>
            <a:gd name="connsiteX3" fmla="*/ 0 w 9116785"/>
            <a:gd name="connsiteY3" fmla="*/ 149678 h 423794"/>
            <a:gd name="connsiteX0" fmla="*/ 9116785 w 9116785"/>
            <a:gd name="connsiteY0" fmla="*/ 0 h 428105"/>
            <a:gd name="connsiteX1" fmla="*/ 5973535 w 9116785"/>
            <a:gd name="connsiteY1" fmla="*/ 312964 h 428105"/>
            <a:gd name="connsiteX2" fmla="*/ 3061607 w 9116785"/>
            <a:gd name="connsiteY2" fmla="*/ 421821 h 428105"/>
            <a:gd name="connsiteX3" fmla="*/ 0 w 9116785"/>
            <a:gd name="connsiteY3" fmla="*/ 149678 h 428105"/>
            <a:gd name="connsiteX0" fmla="*/ 9116785 w 9116785"/>
            <a:gd name="connsiteY0" fmla="*/ 0 h 428105"/>
            <a:gd name="connsiteX1" fmla="*/ 5973535 w 9116785"/>
            <a:gd name="connsiteY1" fmla="*/ 312964 h 428105"/>
            <a:gd name="connsiteX2" fmla="*/ 3061607 w 9116785"/>
            <a:gd name="connsiteY2" fmla="*/ 421821 h 428105"/>
            <a:gd name="connsiteX3" fmla="*/ 0 w 9116785"/>
            <a:gd name="connsiteY3" fmla="*/ 149678 h 428105"/>
            <a:gd name="connsiteX0" fmla="*/ 9116785 w 9116785"/>
            <a:gd name="connsiteY0" fmla="*/ 0 h 358747"/>
            <a:gd name="connsiteX1" fmla="*/ 5973535 w 9116785"/>
            <a:gd name="connsiteY1" fmla="*/ 312964 h 358747"/>
            <a:gd name="connsiteX2" fmla="*/ 2721428 w 9116785"/>
            <a:gd name="connsiteY2" fmla="*/ 340178 h 358747"/>
            <a:gd name="connsiteX3" fmla="*/ 0 w 9116785"/>
            <a:gd name="connsiteY3" fmla="*/ 149678 h 3587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16785" h="358747">
              <a:moveTo>
                <a:pt x="9116785" y="0"/>
              </a:moveTo>
              <a:cubicBezTo>
                <a:pt x="7614329" y="189365"/>
                <a:pt x="7039428" y="256268"/>
                <a:pt x="5973535" y="312964"/>
              </a:cubicBezTo>
              <a:cubicBezTo>
                <a:pt x="4907642" y="369660"/>
                <a:pt x="3717017" y="367392"/>
                <a:pt x="2721428" y="340178"/>
              </a:cubicBezTo>
              <a:cubicBezTo>
                <a:pt x="1725839" y="312964"/>
                <a:pt x="446768" y="258535"/>
                <a:pt x="0" y="149678"/>
              </a:cubicBezTo>
            </a:path>
          </a:pathLst>
        </a:custGeom>
        <a:ln w="28575"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70756</xdr:colOff>
      <xdr:row>19</xdr:row>
      <xdr:rowOff>149679</xdr:rowOff>
    </xdr:from>
    <xdr:to>
      <xdr:col>6</xdr:col>
      <xdr:colOff>122465</xdr:colOff>
      <xdr:row>21</xdr:row>
      <xdr:rowOff>81643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0756" y="3415393"/>
          <a:ext cx="4950280" cy="34017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122465</xdr:colOff>
      <xdr:row>20</xdr:row>
      <xdr:rowOff>115661</xdr:rowOff>
    </xdr:from>
    <xdr:to>
      <xdr:col>12</xdr:col>
      <xdr:colOff>589243</xdr:colOff>
      <xdr:row>24</xdr:row>
      <xdr:rowOff>149798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3" idx="2"/>
          <a:endCxn id="44" idx="6"/>
        </xdr:cNvCxnSpPr>
      </xdr:nvCxnSpPr>
      <xdr:spPr>
        <a:xfrm flipH="1" flipV="1">
          <a:off x="5039746" y="4473349"/>
          <a:ext cx="4967341" cy="891387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15</xdr:col>
      <xdr:colOff>705489</xdr:colOff>
      <xdr:row>20</xdr:row>
      <xdr:rowOff>142296</xdr:rowOff>
    </xdr:from>
    <xdr:to>
      <xdr:col>16</xdr:col>
      <xdr:colOff>1095774</xdr:colOff>
      <xdr:row>22</xdr:row>
      <xdr:rowOff>74259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2671270" y="4499984"/>
          <a:ext cx="1318973" cy="360588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44824</xdr:colOff>
      <xdr:row>8</xdr:row>
      <xdr:rowOff>89648</xdr:rowOff>
    </xdr:from>
    <xdr:to>
      <xdr:col>16</xdr:col>
      <xdr:colOff>380999</xdr:colOff>
      <xdr:row>20</xdr:row>
      <xdr:rowOff>166687</xdr:rowOff>
    </xdr:to>
    <xdr:sp macro="" textlink="">
      <xdr:nvSpPr>
        <xdr:cNvPr id="51" name="フリーフォーム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6581355" y="1804148"/>
          <a:ext cx="6694113" cy="2720227"/>
        </a:xfrm>
        <a:custGeom>
          <a:avLst/>
          <a:gdLst>
            <a:gd name="connsiteX0" fmla="*/ 3933264 w 4028492"/>
            <a:gd name="connsiteY0" fmla="*/ 2770634 h 2770634"/>
            <a:gd name="connsiteX1" fmla="*/ 3731558 w 4028492"/>
            <a:gd name="connsiteY1" fmla="*/ 1784516 h 2770634"/>
            <a:gd name="connsiteX2" fmla="*/ 1456764 w 4028492"/>
            <a:gd name="connsiteY2" fmla="*/ 159663 h 2770634"/>
            <a:gd name="connsiteX3" fmla="*/ 0 w 4028492"/>
            <a:gd name="connsiteY3" fmla="*/ 103634 h 2770634"/>
            <a:gd name="connsiteX0" fmla="*/ 4336675 w 4361863"/>
            <a:gd name="connsiteY0" fmla="*/ 2658575 h 2658575"/>
            <a:gd name="connsiteX1" fmla="*/ 3731558 w 4361863"/>
            <a:gd name="connsiteY1" fmla="*/ 1784516 h 2658575"/>
            <a:gd name="connsiteX2" fmla="*/ 1456764 w 4361863"/>
            <a:gd name="connsiteY2" fmla="*/ 159663 h 2658575"/>
            <a:gd name="connsiteX3" fmla="*/ 0 w 4361863"/>
            <a:gd name="connsiteY3" fmla="*/ 103634 h 2658575"/>
            <a:gd name="connsiteX0" fmla="*/ 4336675 w 4336675"/>
            <a:gd name="connsiteY0" fmla="*/ 2658575 h 2658575"/>
            <a:gd name="connsiteX1" fmla="*/ 3731558 w 4336675"/>
            <a:gd name="connsiteY1" fmla="*/ 1784516 h 2658575"/>
            <a:gd name="connsiteX2" fmla="*/ 1456764 w 4336675"/>
            <a:gd name="connsiteY2" fmla="*/ 159663 h 2658575"/>
            <a:gd name="connsiteX3" fmla="*/ 0 w 4336675"/>
            <a:gd name="connsiteY3" fmla="*/ 103634 h 2658575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574046 h 2574046"/>
            <a:gd name="connsiteX1" fmla="*/ 3025588 w 4336675"/>
            <a:gd name="connsiteY1" fmla="*/ 1072458 h 2574046"/>
            <a:gd name="connsiteX2" fmla="*/ 1400735 w 4336675"/>
            <a:gd name="connsiteY2" fmla="*/ 232016 h 2574046"/>
            <a:gd name="connsiteX3" fmla="*/ 0 w 4336675"/>
            <a:gd name="connsiteY3" fmla="*/ 19105 h 2574046"/>
            <a:gd name="connsiteX0" fmla="*/ 4448733 w 4448733"/>
            <a:gd name="connsiteY0" fmla="*/ 2594582 h 2594582"/>
            <a:gd name="connsiteX1" fmla="*/ 3137646 w 4448733"/>
            <a:gd name="connsiteY1" fmla="*/ 1092994 h 2594582"/>
            <a:gd name="connsiteX2" fmla="*/ 1512793 w 4448733"/>
            <a:gd name="connsiteY2" fmla="*/ 252552 h 2594582"/>
            <a:gd name="connsiteX3" fmla="*/ 0 w 4448733"/>
            <a:gd name="connsiteY3" fmla="*/ 17230 h 259458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733" h="2577352">
              <a:moveTo>
                <a:pt x="4448733" y="2577352"/>
              </a:moveTo>
              <a:cubicBezTo>
                <a:pt x="4162048" y="1976904"/>
                <a:pt x="3626969" y="1466102"/>
                <a:pt x="3137646" y="1075764"/>
              </a:cubicBezTo>
              <a:cubicBezTo>
                <a:pt x="2648323" y="685426"/>
                <a:pt x="2035734" y="414616"/>
                <a:pt x="1512793" y="235322"/>
              </a:cubicBezTo>
              <a:cubicBezTo>
                <a:pt x="989852" y="56028"/>
                <a:pt x="440764" y="3736"/>
                <a:pt x="0" y="0"/>
              </a:cubicBezTo>
            </a:path>
          </a:pathLst>
        </a:custGeom>
        <a:noFill/>
        <a:ln w="28575"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28</xdr:row>
          <xdr:rowOff>0</xdr:rowOff>
        </xdr:from>
        <xdr:to>
          <xdr:col>21</xdr:col>
          <xdr:colOff>29062</xdr:colOff>
          <xdr:row>46</xdr:row>
          <xdr:rowOff>187137</xdr:rowOff>
        </xdr:to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課税証明書!$A$1:$M$22" spid="_x0000_s24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725150" y="5943600"/>
              <a:ext cx="7639537" cy="3959037"/>
            </a:xfrm>
            <a:prstGeom prst="rect">
              <a:avLst/>
            </a:prstGeom>
            <a:noFill/>
            <a:ln w="12700"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17</xdr:col>
      <xdr:colOff>1510393</xdr:colOff>
      <xdr:row>41</xdr:row>
      <xdr:rowOff>176895</xdr:rowOff>
    </xdr:from>
    <xdr:to>
      <xdr:col>19</xdr:col>
      <xdr:colOff>547007</xdr:colOff>
      <xdr:row>43</xdr:row>
      <xdr:rowOff>190502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3906500" y="7932966"/>
          <a:ext cx="1513114" cy="421822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54428</xdr:colOff>
      <xdr:row>32</xdr:row>
      <xdr:rowOff>70759</xdr:rowOff>
    </xdr:from>
    <xdr:to>
      <xdr:col>8</xdr:col>
      <xdr:colOff>40820</xdr:colOff>
      <xdr:row>34</xdr:row>
      <xdr:rowOff>84367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4428" y="5989866"/>
          <a:ext cx="6517821" cy="421822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957943</xdr:colOff>
      <xdr:row>32</xdr:row>
      <xdr:rowOff>19051</xdr:rowOff>
    </xdr:from>
    <xdr:to>
      <xdr:col>16</xdr:col>
      <xdr:colOff>163286</xdr:colOff>
      <xdr:row>35</xdr:row>
      <xdr:rowOff>54429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9666514" y="5938158"/>
          <a:ext cx="1191986" cy="647700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147278</xdr:colOff>
      <xdr:row>28</xdr:row>
      <xdr:rowOff>65794</xdr:rowOff>
    </xdr:from>
    <xdr:to>
      <xdr:col>3</xdr:col>
      <xdr:colOff>750795</xdr:colOff>
      <xdr:row>29</xdr:row>
      <xdr:rowOff>210671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47278" y="6027323"/>
          <a:ext cx="3023988" cy="357789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542991</xdr:colOff>
      <xdr:row>28</xdr:row>
      <xdr:rowOff>40187</xdr:rowOff>
    </xdr:from>
    <xdr:to>
      <xdr:col>15</xdr:col>
      <xdr:colOff>71733</xdr:colOff>
      <xdr:row>30</xdr:row>
      <xdr:rowOff>37696</xdr:rowOff>
    </xdr:to>
    <xdr:sp macro="" textlink="">
      <xdr:nvSpPr>
        <xdr:cNvPr id="59" name="フリーフォーム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 rot="476432">
          <a:off x="2984855" y="5859096"/>
          <a:ext cx="9010446" cy="413145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6071" h="347961">
              <a:moveTo>
                <a:pt x="7756071" y="252710"/>
              </a:moveTo>
              <a:cubicBezTo>
                <a:pt x="6149294" y="-79531"/>
                <a:pt x="4735286" y="5515"/>
                <a:pt x="3442608" y="21390"/>
              </a:cubicBezTo>
              <a:cubicBezTo>
                <a:pt x="2149930" y="37265"/>
                <a:pt x="947964" y="171067"/>
                <a:pt x="0" y="34796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176893</xdr:colOff>
      <xdr:row>40</xdr:row>
      <xdr:rowOff>95250</xdr:rowOff>
    </xdr:from>
    <xdr:to>
      <xdr:col>19</xdr:col>
      <xdr:colOff>503465</xdr:colOff>
      <xdr:row>41</xdr:row>
      <xdr:rowOff>130631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5049500" y="7647214"/>
          <a:ext cx="326572" cy="239488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217714</xdr:colOff>
      <xdr:row>29</xdr:row>
      <xdr:rowOff>68034</xdr:rowOff>
    </xdr:from>
    <xdr:to>
      <xdr:col>19</xdr:col>
      <xdr:colOff>13607</xdr:colOff>
      <xdr:row>40</xdr:row>
      <xdr:rowOff>190500</xdr:rowOff>
    </xdr:to>
    <xdr:sp macro="" textlink="">
      <xdr:nvSpPr>
        <xdr:cNvPr id="61" name="フリーフォーム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299857" y="5374820"/>
          <a:ext cx="10586357" cy="2367644"/>
        </a:xfrm>
        <a:custGeom>
          <a:avLst/>
          <a:gdLst>
            <a:gd name="connsiteX0" fmla="*/ 3933264 w 4028492"/>
            <a:gd name="connsiteY0" fmla="*/ 2770634 h 2770634"/>
            <a:gd name="connsiteX1" fmla="*/ 3731558 w 4028492"/>
            <a:gd name="connsiteY1" fmla="*/ 1784516 h 2770634"/>
            <a:gd name="connsiteX2" fmla="*/ 1456764 w 4028492"/>
            <a:gd name="connsiteY2" fmla="*/ 159663 h 2770634"/>
            <a:gd name="connsiteX3" fmla="*/ 0 w 4028492"/>
            <a:gd name="connsiteY3" fmla="*/ 103634 h 2770634"/>
            <a:gd name="connsiteX0" fmla="*/ 4336675 w 4361863"/>
            <a:gd name="connsiteY0" fmla="*/ 2658575 h 2658575"/>
            <a:gd name="connsiteX1" fmla="*/ 3731558 w 4361863"/>
            <a:gd name="connsiteY1" fmla="*/ 1784516 h 2658575"/>
            <a:gd name="connsiteX2" fmla="*/ 1456764 w 4361863"/>
            <a:gd name="connsiteY2" fmla="*/ 159663 h 2658575"/>
            <a:gd name="connsiteX3" fmla="*/ 0 w 4361863"/>
            <a:gd name="connsiteY3" fmla="*/ 103634 h 2658575"/>
            <a:gd name="connsiteX0" fmla="*/ 4336675 w 4336675"/>
            <a:gd name="connsiteY0" fmla="*/ 2658575 h 2658575"/>
            <a:gd name="connsiteX1" fmla="*/ 3731558 w 4336675"/>
            <a:gd name="connsiteY1" fmla="*/ 1784516 h 2658575"/>
            <a:gd name="connsiteX2" fmla="*/ 1456764 w 4336675"/>
            <a:gd name="connsiteY2" fmla="*/ 159663 h 2658575"/>
            <a:gd name="connsiteX3" fmla="*/ 0 w 4336675"/>
            <a:gd name="connsiteY3" fmla="*/ 103634 h 2658575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574046 h 2574046"/>
            <a:gd name="connsiteX1" fmla="*/ 3025588 w 4336675"/>
            <a:gd name="connsiteY1" fmla="*/ 1072458 h 2574046"/>
            <a:gd name="connsiteX2" fmla="*/ 1400735 w 4336675"/>
            <a:gd name="connsiteY2" fmla="*/ 232016 h 2574046"/>
            <a:gd name="connsiteX3" fmla="*/ 0 w 4336675"/>
            <a:gd name="connsiteY3" fmla="*/ 19105 h 2574046"/>
            <a:gd name="connsiteX0" fmla="*/ 4448733 w 4448733"/>
            <a:gd name="connsiteY0" fmla="*/ 2594582 h 2594582"/>
            <a:gd name="connsiteX1" fmla="*/ 3137646 w 4448733"/>
            <a:gd name="connsiteY1" fmla="*/ 1092994 h 2594582"/>
            <a:gd name="connsiteX2" fmla="*/ 1512793 w 4448733"/>
            <a:gd name="connsiteY2" fmla="*/ 252552 h 2594582"/>
            <a:gd name="connsiteX3" fmla="*/ 0 w 4448733"/>
            <a:gd name="connsiteY3" fmla="*/ 17230 h 259458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327168 w 4448733"/>
            <a:gd name="connsiteY2" fmla="*/ 485815 h 2577352"/>
            <a:gd name="connsiteX3" fmla="*/ 0 w 4448733"/>
            <a:gd name="connsiteY3" fmla="*/ 0 h 257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733" h="2577352">
              <a:moveTo>
                <a:pt x="4448733" y="2577352"/>
              </a:moveTo>
              <a:cubicBezTo>
                <a:pt x="3930018" y="2519634"/>
                <a:pt x="3319807" y="2238447"/>
                <a:pt x="2799546" y="1889857"/>
              </a:cubicBezTo>
              <a:cubicBezTo>
                <a:pt x="2279285" y="1541267"/>
                <a:pt x="1793759" y="800791"/>
                <a:pt x="1327168" y="485815"/>
              </a:cubicBezTo>
              <a:cubicBezTo>
                <a:pt x="860577" y="170839"/>
                <a:pt x="440764" y="3736"/>
                <a:pt x="0" y="0"/>
              </a:cubicBezTo>
            </a:path>
          </a:pathLst>
        </a:custGeom>
        <a:noFill/>
        <a:ln w="28575"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40820</xdr:colOff>
      <xdr:row>33</xdr:row>
      <xdr:rowOff>68035</xdr:rowOff>
    </xdr:from>
    <xdr:to>
      <xdr:col>17</xdr:col>
      <xdr:colOff>1333499</xdr:colOff>
      <xdr:row>42</xdr:row>
      <xdr:rowOff>122463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6572249" y="6191249"/>
          <a:ext cx="7157357" cy="1891393"/>
        </a:xfrm>
        <a:custGeom>
          <a:avLst/>
          <a:gdLst>
            <a:gd name="connsiteX0" fmla="*/ 3933264 w 4028492"/>
            <a:gd name="connsiteY0" fmla="*/ 2770634 h 2770634"/>
            <a:gd name="connsiteX1" fmla="*/ 3731558 w 4028492"/>
            <a:gd name="connsiteY1" fmla="*/ 1784516 h 2770634"/>
            <a:gd name="connsiteX2" fmla="*/ 1456764 w 4028492"/>
            <a:gd name="connsiteY2" fmla="*/ 159663 h 2770634"/>
            <a:gd name="connsiteX3" fmla="*/ 0 w 4028492"/>
            <a:gd name="connsiteY3" fmla="*/ 103634 h 2770634"/>
            <a:gd name="connsiteX0" fmla="*/ 4336675 w 4361863"/>
            <a:gd name="connsiteY0" fmla="*/ 2658575 h 2658575"/>
            <a:gd name="connsiteX1" fmla="*/ 3731558 w 4361863"/>
            <a:gd name="connsiteY1" fmla="*/ 1784516 h 2658575"/>
            <a:gd name="connsiteX2" fmla="*/ 1456764 w 4361863"/>
            <a:gd name="connsiteY2" fmla="*/ 159663 h 2658575"/>
            <a:gd name="connsiteX3" fmla="*/ 0 w 4361863"/>
            <a:gd name="connsiteY3" fmla="*/ 103634 h 2658575"/>
            <a:gd name="connsiteX0" fmla="*/ 4336675 w 4336675"/>
            <a:gd name="connsiteY0" fmla="*/ 2658575 h 2658575"/>
            <a:gd name="connsiteX1" fmla="*/ 3731558 w 4336675"/>
            <a:gd name="connsiteY1" fmla="*/ 1784516 h 2658575"/>
            <a:gd name="connsiteX2" fmla="*/ 1456764 w 4336675"/>
            <a:gd name="connsiteY2" fmla="*/ 159663 h 2658575"/>
            <a:gd name="connsiteX3" fmla="*/ 0 w 4336675"/>
            <a:gd name="connsiteY3" fmla="*/ 103634 h 2658575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574046 h 2574046"/>
            <a:gd name="connsiteX1" fmla="*/ 3025588 w 4336675"/>
            <a:gd name="connsiteY1" fmla="*/ 1072458 h 2574046"/>
            <a:gd name="connsiteX2" fmla="*/ 1400735 w 4336675"/>
            <a:gd name="connsiteY2" fmla="*/ 232016 h 2574046"/>
            <a:gd name="connsiteX3" fmla="*/ 0 w 4336675"/>
            <a:gd name="connsiteY3" fmla="*/ 19105 h 2574046"/>
            <a:gd name="connsiteX0" fmla="*/ 4448733 w 4448733"/>
            <a:gd name="connsiteY0" fmla="*/ 2594582 h 2594582"/>
            <a:gd name="connsiteX1" fmla="*/ 3137646 w 4448733"/>
            <a:gd name="connsiteY1" fmla="*/ 1092994 h 2594582"/>
            <a:gd name="connsiteX2" fmla="*/ 1512793 w 4448733"/>
            <a:gd name="connsiteY2" fmla="*/ 252552 h 2594582"/>
            <a:gd name="connsiteX3" fmla="*/ 0 w 4448733"/>
            <a:gd name="connsiteY3" fmla="*/ 17230 h 259458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327168 w 4448733"/>
            <a:gd name="connsiteY2" fmla="*/ 485815 h 2577352"/>
            <a:gd name="connsiteX3" fmla="*/ 0 w 4448733"/>
            <a:gd name="connsiteY3" fmla="*/ 0 h 257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733" h="2577352">
              <a:moveTo>
                <a:pt x="4448733" y="2577352"/>
              </a:moveTo>
              <a:cubicBezTo>
                <a:pt x="3930018" y="2519634"/>
                <a:pt x="3319807" y="2238447"/>
                <a:pt x="2799546" y="1889857"/>
              </a:cubicBezTo>
              <a:cubicBezTo>
                <a:pt x="2279285" y="1541267"/>
                <a:pt x="1793759" y="800791"/>
                <a:pt x="1327168" y="485815"/>
              </a:cubicBezTo>
              <a:cubicBezTo>
                <a:pt x="860577" y="170839"/>
                <a:pt x="440764" y="3736"/>
                <a:pt x="0" y="0"/>
              </a:cubicBezTo>
            </a:path>
          </a:pathLst>
        </a:custGeom>
        <a:noFill/>
        <a:ln w="28575">
          <a:solidFill>
            <a:schemeClr val="accent6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1260021</xdr:colOff>
      <xdr:row>42</xdr:row>
      <xdr:rowOff>54427</xdr:rowOff>
    </xdr:from>
    <xdr:to>
      <xdr:col>17</xdr:col>
      <xdr:colOff>751114</xdr:colOff>
      <xdr:row>43</xdr:row>
      <xdr:rowOff>193221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1955235" y="8014606"/>
          <a:ext cx="1191986" cy="342901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541331</xdr:colOff>
      <xdr:row>6</xdr:row>
      <xdr:rowOff>128487</xdr:rowOff>
    </xdr:from>
    <xdr:to>
      <xdr:col>14</xdr:col>
      <xdr:colOff>692080</xdr:colOff>
      <xdr:row>9</xdr:row>
      <xdr:rowOff>108420</xdr:rowOff>
    </xdr:to>
    <xdr:sp macro="" textlink="">
      <xdr:nvSpPr>
        <xdr:cNvPr id="68" name="フリーフォーム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 rot="289873">
          <a:off x="1350956" y="1414362"/>
          <a:ext cx="10259155" cy="622871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0 h 95251"/>
            <a:gd name="connsiteX1" fmla="*/ 0 w 7756071"/>
            <a:gd name="connsiteY1" fmla="*/ 95251 h 95251"/>
            <a:gd name="connsiteX0" fmla="*/ 7756071 w 7756071"/>
            <a:gd name="connsiteY0" fmla="*/ 101161 h 196412"/>
            <a:gd name="connsiteX1" fmla="*/ 0 w 7756071"/>
            <a:gd name="connsiteY1" fmla="*/ 196412 h 196412"/>
            <a:gd name="connsiteX0" fmla="*/ 7756071 w 7756071"/>
            <a:gd name="connsiteY0" fmla="*/ 216340 h 311591"/>
            <a:gd name="connsiteX1" fmla="*/ 0 w 7756071"/>
            <a:gd name="connsiteY1" fmla="*/ 311591 h 311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56071" h="311591">
              <a:moveTo>
                <a:pt x="7756071" y="216340"/>
              </a:moveTo>
              <a:cubicBezTo>
                <a:pt x="5569640" y="-86882"/>
                <a:pt x="2568644" y="-85772"/>
                <a:pt x="0" y="31159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588818</xdr:colOff>
      <xdr:row>28</xdr:row>
      <xdr:rowOff>199159</xdr:rowOff>
    </xdr:from>
    <xdr:to>
      <xdr:col>16</xdr:col>
      <xdr:colOff>753341</xdr:colOff>
      <xdr:row>29</xdr:row>
      <xdr:rowOff>129887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1A1BB2-A3AB-40EA-A847-EF416AE6FBC8}"/>
            </a:ext>
          </a:extLst>
        </xdr:cNvPr>
        <xdr:cNvSpPr/>
      </xdr:nvSpPr>
      <xdr:spPr>
        <a:xfrm>
          <a:off x="13447568" y="6018068"/>
          <a:ext cx="164523" cy="1385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34637</xdr:colOff>
      <xdr:row>31</xdr:row>
      <xdr:rowOff>138545</xdr:rowOff>
    </xdr:from>
    <xdr:to>
      <xdr:col>14</xdr:col>
      <xdr:colOff>251114</xdr:colOff>
      <xdr:row>32</xdr:row>
      <xdr:rowOff>51954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0C3361C-A899-4096-8478-447F9B5867F5}"/>
            </a:ext>
          </a:extLst>
        </xdr:cNvPr>
        <xdr:cNvSpPr/>
      </xdr:nvSpPr>
      <xdr:spPr>
        <a:xfrm>
          <a:off x="10910455" y="6580909"/>
          <a:ext cx="216477" cy="12122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1122218</xdr:colOff>
      <xdr:row>31</xdr:row>
      <xdr:rowOff>128154</xdr:rowOff>
    </xdr:from>
    <xdr:to>
      <xdr:col>17</xdr:col>
      <xdr:colOff>1286741</xdr:colOff>
      <xdr:row>32</xdr:row>
      <xdr:rowOff>58882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4646CE93-5AE3-47DD-AF0D-13BE0C675E4D}"/>
            </a:ext>
          </a:extLst>
        </xdr:cNvPr>
        <xdr:cNvSpPr/>
      </xdr:nvSpPr>
      <xdr:spPr>
        <a:xfrm>
          <a:off x="15638318" y="6624204"/>
          <a:ext cx="164523" cy="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1125682</xdr:colOff>
      <xdr:row>38</xdr:row>
      <xdr:rowOff>51955</xdr:rowOff>
    </xdr:from>
    <xdr:to>
      <xdr:col>17</xdr:col>
      <xdr:colOff>1290205</xdr:colOff>
      <xdr:row>38</xdr:row>
      <xdr:rowOff>190501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9309CF93-DEE2-4960-96AD-88752A07E6B8}"/>
            </a:ext>
          </a:extLst>
        </xdr:cNvPr>
        <xdr:cNvSpPr/>
      </xdr:nvSpPr>
      <xdr:spPr>
        <a:xfrm>
          <a:off x="15681614" y="7949046"/>
          <a:ext cx="164523" cy="1385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103187</xdr:colOff>
      <xdr:row>24</xdr:row>
      <xdr:rowOff>63509</xdr:rowOff>
    </xdr:from>
    <xdr:to>
      <xdr:col>16</xdr:col>
      <xdr:colOff>396874</xdr:colOff>
      <xdr:row>24</xdr:row>
      <xdr:rowOff>134938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A8F2468-63AB-4E06-B621-DF0A2FC8DEB3}"/>
            </a:ext>
          </a:extLst>
        </xdr:cNvPr>
        <xdr:cNvSpPr/>
      </xdr:nvSpPr>
      <xdr:spPr>
        <a:xfrm>
          <a:off x="12969875" y="5095884"/>
          <a:ext cx="293687" cy="714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63500</xdr:colOff>
      <xdr:row>23</xdr:row>
      <xdr:rowOff>142876</xdr:rowOff>
    </xdr:from>
    <xdr:to>
      <xdr:col>16</xdr:col>
      <xdr:colOff>817562</xdr:colOff>
      <xdr:row>24</xdr:row>
      <xdr:rowOff>15876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3A3042A-F6C3-4634-8B0F-F464BAAA58C5}"/>
            </a:ext>
          </a:extLst>
        </xdr:cNvPr>
        <xdr:cNvSpPr/>
      </xdr:nvSpPr>
      <xdr:spPr>
        <a:xfrm>
          <a:off x="12930188" y="4968876"/>
          <a:ext cx="754062" cy="79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166693</xdr:colOff>
      <xdr:row>23</xdr:row>
      <xdr:rowOff>71433</xdr:rowOff>
    </xdr:from>
    <xdr:ext cx="682625" cy="14287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4CE2CCD-E4C9-42BF-9652-A23558E1E000}"/>
            </a:ext>
          </a:extLst>
        </xdr:cNvPr>
        <xdr:cNvSpPr txBox="1"/>
      </xdr:nvSpPr>
      <xdr:spPr>
        <a:xfrm>
          <a:off x="13033381" y="4897433"/>
          <a:ext cx="682625" cy="142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600"/>
            <a:t>ひとり親</a:t>
          </a:r>
        </a:p>
      </xdr:txBody>
    </xdr:sp>
    <xdr:clientData/>
  </xdr:oneCellAnchor>
  <xdr:twoCellAnchor>
    <xdr:from>
      <xdr:col>16</xdr:col>
      <xdr:colOff>492125</xdr:colOff>
      <xdr:row>24</xdr:row>
      <xdr:rowOff>63500</xdr:rowOff>
    </xdr:from>
    <xdr:to>
      <xdr:col>16</xdr:col>
      <xdr:colOff>785812</xdr:colOff>
      <xdr:row>24</xdr:row>
      <xdr:rowOff>134929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FA5E6252-A54B-49CC-8FEB-03CC59A58224}"/>
            </a:ext>
          </a:extLst>
        </xdr:cNvPr>
        <xdr:cNvSpPr/>
      </xdr:nvSpPr>
      <xdr:spPr>
        <a:xfrm>
          <a:off x="13358813" y="5095875"/>
          <a:ext cx="293687" cy="714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111124</xdr:colOff>
      <xdr:row>23</xdr:row>
      <xdr:rowOff>198437</xdr:rowOff>
    </xdr:from>
    <xdr:to>
      <xdr:col>16</xdr:col>
      <xdr:colOff>817562</xdr:colOff>
      <xdr:row>24</xdr:row>
      <xdr:rowOff>182563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11FF09F-0E4F-4F1F-99FD-262909CF3214}"/>
            </a:ext>
          </a:extLst>
        </xdr:cNvPr>
        <xdr:cNvSpPr/>
      </xdr:nvSpPr>
      <xdr:spPr>
        <a:xfrm>
          <a:off x="12977812" y="5024437"/>
          <a:ext cx="706438" cy="190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父　　　　母</a:t>
          </a:r>
        </a:p>
      </xdr:txBody>
    </xdr:sp>
    <xdr:clientData/>
  </xdr:twoCellAnchor>
  <xdr:oneCellAnchor>
    <xdr:from>
      <xdr:col>16</xdr:col>
      <xdr:colOff>841375</xdr:colOff>
      <xdr:row>23</xdr:row>
      <xdr:rowOff>166689</xdr:rowOff>
    </xdr:from>
    <xdr:ext cx="365125" cy="15081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08FE836-71E8-4955-9C53-898023CD685B}"/>
            </a:ext>
          </a:extLst>
        </xdr:cNvPr>
        <xdr:cNvSpPr txBox="1"/>
      </xdr:nvSpPr>
      <xdr:spPr>
        <a:xfrm>
          <a:off x="13708063" y="4992689"/>
          <a:ext cx="365125" cy="150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761994</xdr:colOff>
      <xdr:row>23</xdr:row>
      <xdr:rowOff>134935</xdr:rowOff>
    </xdr:from>
    <xdr:ext cx="492443" cy="22115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9FFAA96-C51A-4E49-BB62-BFBC13D79925}"/>
            </a:ext>
          </a:extLst>
        </xdr:cNvPr>
        <xdr:cNvSpPr txBox="1"/>
      </xdr:nvSpPr>
      <xdr:spPr>
        <a:xfrm>
          <a:off x="13628682" y="4960935"/>
          <a:ext cx="492443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一般寡婦</a:t>
          </a:r>
        </a:p>
      </xdr:txBody>
    </xdr:sp>
    <xdr:clientData/>
  </xdr:oneCellAnchor>
  <xdr:twoCellAnchor>
    <xdr:from>
      <xdr:col>12</xdr:col>
      <xdr:colOff>589243</xdr:colOff>
      <xdr:row>23</xdr:row>
      <xdr:rowOff>187784</xdr:rowOff>
    </xdr:from>
    <xdr:to>
      <xdr:col>17</xdr:col>
      <xdr:colOff>242661</xdr:colOff>
      <xdr:row>25</xdr:row>
      <xdr:rowOff>111812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0007087" y="5188409"/>
          <a:ext cx="4820730" cy="352653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723578</xdr:colOff>
      <xdr:row>40</xdr:row>
      <xdr:rowOff>104666</xdr:rowOff>
    </xdr:from>
    <xdr:to>
      <xdr:col>16</xdr:col>
      <xdr:colOff>1299081</xdr:colOff>
      <xdr:row>42</xdr:row>
      <xdr:rowOff>67481</xdr:rowOff>
    </xdr:to>
    <xdr:sp macro="" textlink="">
      <xdr:nvSpPr>
        <xdr:cNvPr id="67" name="フリーフォーム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 rot="184783">
          <a:off x="6450484" y="8748604"/>
          <a:ext cx="7743066" cy="391440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6071" h="347961">
              <a:moveTo>
                <a:pt x="7756071" y="252710"/>
              </a:moveTo>
              <a:cubicBezTo>
                <a:pt x="6149294" y="-79531"/>
                <a:pt x="4735286" y="5515"/>
                <a:pt x="3442608" y="21390"/>
              </a:cubicBezTo>
              <a:cubicBezTo>
                <a:pt x="2149930" y="37265"/>
                <a:pt x="947964" y="171067"/>
                <a:pt x="0" y="34796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25066</xdr:rowOff>
    </xdr:from>
    <xdr:to>
      <xdr:col>16</xdr:col>
      <xdr:colOff>180473</xdr:colOff>
      <xdr:row>21</xdr:row>
      <xdr:rowOff>86318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0474" y="2722145"/>
          <a:ext cx="5835315" cy="186581"/>
        </a:xfrm>
        <a:custGeom>
          <a:avLst/>
          <a:gdLst>
            <a:gd name="connsiteX0" fmla="*/ 0 w 5819775"/>
            <a:gd name="connsiteY0" fmla="*/ 49786 h 59311"/>
            <a:gd name="connsiteX1" fmla="*/ 3086100 w 5819775"/>
            <a:gd name="connsiteY1" fmla="*/ 2161 h 59311"/>
            <a:gd name="connsiteX2" fmla="*/ 5819775 w 5819775"/>
            <a:gd name="connsiteY2" fmla="*/ 59311 h 59311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121401 h 121401"/>
            <a:gd name="connsiteX1" fmla="*/ 3095683 w 5829358"/>
            <a:gd name="connsiteY1" fmla="*/ 64251 h 121401"/>
            <a:gd name="connsiteX2" fmla="*/ 5829358 w 5829358"/>
            <a:gd name="connsiteY2" fmla="*/ 121401 h 121401"/>
            <a:gd name="connsiteX0" fmla="*/ 0 w 5829358"/>
            <a:gd name="connsiteY0" fmla="*/ 104201 h 104201"/>
            <a:gd name="connsiteX1" fmla="*/ 2914679 w 5829358"/>
            <a:gd name="connsiteY1" fmla="*/ 104201 h 104201"/>
            <a:gd name="connsiteX2" fmla="*/ 5829358 w 5829358"/>
            <a:gd name="connsiteY2" fmla="*/ 104201 h 104201"/>
            <a:gd name="connsiteX0" fmla="*/ 0 w 5829358"/>
            <a:gd name="connsiteY0" fmla="*/ 104201 h 216200"/>
            <a:gd name="connsiteX1" fmla="*/ 2914679 w 5829358"/>
            <a:gd name="connsiteY1" fmla="*/ 104201 h 216200"/>
            <a:gd name="connsiteX2" fmla="*/ 5829358 w 5829358"/>
            <a:gd name="connsiteY2" fmla="*/ 104201 h 216200"/>
            <a:gd name="connsiteX0" fmla="*/ 0 w 5829358"/>
            <a:gd name="connsiteY0" fmla="*/ 109943 h 221942"/>
            <a:gd name="connsiteX1" fmla="*/ 2914679 w 5829358"/>
            <a:gd name="connsiteY1" fmla="*/ 109943 h 221942"/>
            <a:gd name="connsiteX2" fmla="*/ 5829358 w 5829358"/>
            <a:gd name="connsiteY2" fmla="*/ 109943 h 221942"/>
            <a:gd name="connsiteX0" fmla="*/ 0 w 5829358"/>
            <a:gd name="connsiteY0" fmla="*/ 182431 h 366614"/>
            <a:gd name="connsiteX1" fmla="*/ 2914679 w 5829358"/>
            <a:gd name="connsiteY1" fmla="*/ 182431 h 366614"/>
            <a:gd name="connsiteX2" fmla="*/ 5829358 w 5829358"/>
            <a:gd name="connsiteY2" fmla="*/ 182431 h 366614"/>
            <a:gd name="connsiteX0" fmla="*/ 0 w 5829358"/>
            <a:gd name="connsiteY0" fmla="*/ 140557 h 283080"/>
            <a:gd name="connsiteX1" fmla="*/ 2914679 w 5829358"/>
            <a:gd name="connsiteY1" fmla="*/ 140557 h 283080"/>
            <a:gd name="connsiteX2" fmla="*/ 5829358 w 5829358"/>
            <a:gd name="connsiteY2" fmla="*/ 140557 h 283080"/>
            <a:gd name="connsiteX0" fmla="*/ 0 w 5829358"/>
            <a:gd name="connsiteY0" fmla="*/ 140557 h 232696"/>
            <a:gd name="connsiteX1" fmla="*/ 2914679 w 5829358"/>
            <a:gd name="connsiteY1" fmla="*/ 140557 h 232696"/>
            <a:gd name="connsiteX2" fmla="*/ 5829358 w 5829358"/>
            <a:gd name="connsiteY2" fmla="*/ 140557 h 232696"/>
            <a:gd name="connsiteX0" fmla="*/ 0 w 5829358"/>
            <a:gd name="connsiteY0" fmla="*/ 90369 h 182508"/>
            <a:gd name="connsiteX1" fmla="*/ 2914679 w 5829358"/>
            <a:gd name="connsiteY1" fmla="*/ 90369 h 182508"/>
            <a:gd name="connsiteX2" fmla="*/ 5829358 w 5829358"/>
            <a:gd name="connsiteY2" fmla="*/ 90369 h 182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9358" h="182508">
              <a:moveTo>
                <a:pt x="0" y="90369"/>
              </a:moveTo>
              <a:cubicBezTo>
                <a:pt x="1354896" y="219599"/>
                <a:pt x="1731623" y="206675"/>
                <a:pt x="2914679" y="90369"/>
              </a:cubicBezTo>
              <a:cubicBezTo>
                <a:pt x="4097735" y="-25937"/>
                <a:pt x="4095309" y="-34237"/>
                <a:pt x="5829358" y="90369"/>
              </a:cubicBezTo>
            </a:path>
          </a:pathLst>
        </a:cu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16</xdr:col>
      <xdr:colOff>178427</xdr:colOff>
      <xdr:row>26</xdr:row>
      <xdr:rowOff>96971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78594" y="3345657"/>
          <a:ext cx="5857708" cy="186267"/>
        </a:xfrm>
        <a:custGeom>
          <a:avLst/>
          <a:gdLst>
            <a:gd name="connsiteX0" fmla="*/ 0 w 5819775"/>
            <a:gd name="connsiteY0" fmla="*/ 49786 h 59311"/>
            <a:gd name="connsiteX1" fmla="*/ 3086100 w 5819775"/>
            <a:gd name="connsiteY1" fmla="*/ 2161 h 59311"/>
            <a:gd name="connsiteX2" fmla="*/ 5819775 w 5819775"/>
            <a:gd name="connsiteY2" fmla="*/ 59311 h 59311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121401 h 121401"/>
            <a:gd name="connsiteX1" fmla="*/ 3095683 w 5829358"/>
            <a:gd name="connsiteY1" fmla="*/ 64251 h 121401"/>
            <a:gd name="connsiteX2" fmla="*/ 5829358 w 5829358"/>
            <a:gd name="connsiteY2" fmla="*/ 121401 h 121401"/>
            <a:gd name="connsiteX0" fmla="*/ 0 w 5829358"/>
            <a:gd name="connsiteY0" fmla="*/ 104201 h 104201"/>
            <a:gd name="connsiteX1" fmla="*/ 2914679 w 5829358"/>
            <a:gd name="connsiteY1" fmla="*/ 104201 h 104201"/>
            <a:gd name="connsiteX2" fmla="*/ 5829358 w 5829358"/>
            <a:gd name="connsiteY2" fmla="*/ 104201 h 104201"/>
            <a:gd name="connsiteX0" fmla="*/ 0 w 5829358"/>
            <a:gd name="connsiteY0" fmla="*/ 104201 h 216200"/>
            <a:gd name="connsiteX1" fmla="*/ 2914679 w 5829358"/>
            <a:gd name="connsiteY1" fmla="*/ 104201 h 216200"/>
            <a:gd name="connsiteX2" fmla="*/ 5829358 w 5829358"/>
            <a:gd name="connsiteY2" fmla="*/ 104201 h 216200"/>
            <a:gd name="connsiteX0" fmla="*/ 0 w 5829358"/>
            <a:gd name="connsiteY0" fmla="*/ 109943 h 221942"/>
            <a:gd name="connsiteX1" fmla="*/ 2914679 w 5829358"/>
            <a:gd name="connsiteY1" fmla="*/ 109943 h 221942"/>
            <a:gd name="connsiteX2" fmla="*/ 5829358 w 5829358"/>
            <a:gd name="connsiteY2" fmla="*/ 109943 h 221942"/>
            <a:gd name="connsiteX0" fmla="*/ 0 w 5829358"/>
            <a:gd name="connsiteY0" fmla="*/ 182431 h 366614"/>
            <a:gd name="connsiteX1" fmla="*/ 2914679 w 5829358"/>
            <a:gd name="connsiteY1" fmla="*/ 182431 h 366614"/>
            <a:gd name="connsiteX2" fmla="*/ 5829358 w 5829358"/>
            <a:gd name="connsiteY2" fmla="*/ 182431 h 366614"/>
            <a:gd name="connsiteX0" fmla="*/ 0 w 5829358"/>
            <a:gd name="connsiteY0" fmla="*/ 140557 h 283080"/>
            <a:gd name="connsiteX1" fmla="*/ 2914679 w 5829358"/>
            <a:gd name="connsiteY1" fmla="*/ 140557 h 283080"/>
            <a:gd name="connsiteX2" fmla="*/ 5829358 w 5829358"/>
            <a:gd name="connsiteY2" fmla="*/ 140557 h 283080"/>
            <a:gd name="connsiteX0" fmla="*/ 0 w 5829358"/>
            <a:gd name="connsiteY0" fmla="*/ 140557 h 232696"/>
            <a:gd name="connsiteX1" fmla="*/ 2914679 w 5829358"/>
            <a:gd name="connsiteY1" fmla="*/ 140557 h 232696"/>
            <a:gd name="connsiteX2" fmla="*/ 5829358 w 5829358"/>
            <a:gd name="connsiteY2" fmla="*/ 140557 h 232696"/>
            <a:gd name="connsiteX0" fmla="*/ 0 w 5829358"/>
            <a:gd name="connsiteY0" fmla="*/ 90369 h 182508"/>
            <a:gd name="connsiteX1" fmla="*/ 2914679 w 5829358"/>
            <a:gd name="connsiteY1" fmla="*/ 90369 h 182508"/>
            <a:gd name="connsiteX2" fmla="*/ 5829358 w 5829358"/>
            <a:gd name="connsiteY2" fmla="*/ 90369 h 182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9358" h="182508">
              <a:moveTo>
                <a:pt x="0" y="90369"/>
              </a:moveTo>
              <a:cubicBezTo>
                <a:pt x="1354896" y="219599"/>
                <a:pt x="1731623" y="206675"/>
                <a:pt x="2914679" y="90369"/>
              </a:cubicBezTo>
              <a:cubicBezTo>
                <a:pt x="4097735" y="-25937"/>
                <a:pt x="4095309" y="-34237"/>
                <a:pt x="5829358" y="90369"/>
              </a:cubicBezTo>
            </a:path>
          </a:pathLst>
        </a:cu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30</xdr:row>
      <xdr:rowOff>23199</xdr:rowOff>
    </xdr:from>
    <xdr:to>
      <xdr:col>16</xdr:col>
      <xdr:colOff>175727</xdr:colOff>
      <xdr:row>31</xdr:row>
      <xdr:rowOff>85223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80474" y="3973567"/>
          <a:ext cx="5830569" cy="187353"/>
        </a:xfrm>
        <a:custGeom>
          <a:avLst/>
          <a:gdLst>
            <a:gd name="connsiteX0" fmla="*/ 0 w 5819775"/>
            <a:gd name="connsiteY0" fmla="*/ 49786 h 59311"/>
            <a:gd name="connsiteX1" fmla="*/ 3086100 w 5819775"/>
            <a:gd name="connsiteY1" fmla="*/ 2161 h 59311"/>
            <a:gd name="connsiteX2" fmla="*/ 5819775 w 5819775"/>
            <a:gd name="connsiteY2" fmla="*/ 59311 h 59311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121401 h 121401"/>
            <a:gd name="connsiteX1" fmla="*/ 3095683 w 5829358"/>
            <a:gd name="connsiteY1" fmla="*/ 64251 h 121401"/>
            <a:gd name="connsiteX2" fmla="*/ 5829358 w 5829358"/>
            <a:gd name="connsiteY2" fmla="*/ 121401 h 121401"/>
            <a:gd name="connsiteX0" fmla="*/ 0 w 5829358"/>
            <a:gd name="connsiteY0" fmla="*/ 104201 h 104201"/>
            <a:gd name="connsiteX1" fmla="*/ 2914679 w 5829358"/>
            <a:gd name="connsiteY1" fmla="*/ 104201 h 104201"/>
            <a:gd name="connsiteX2" fmla="*/ 5829358 w 5829358"/>
            <a:gd name="connsiteY2" fmla="*/ 104201 h 104201"/>
            <a:gd name="connsiteX0" fmla="*/ 0 w 5829358"/>
            <a:gd name="connsiteY0" fmla="*/ 104201 h 216200"/>
            <a:gd name="connsiteX1" fmla="*/ 2914679 w 5829358"/>
            <a:gd name="connsiteY1" fmla="*/ 104201 h 216200"/>
            <a:gd name="connsiteX2" fmla="*/ 5829358 w 5829358"/>
            <a:gd name="connsiteY2" fmla="*/ 104201 h 216200"/>
            <a:gd name="connsiteX0" fmla="*/ 0 w 5829358"/>
            <a:gd name="connsiteY0" fmla="*/ 109943 h 221942"/>
            <a:gd name="connsiteX1" fmla="*/ 2914679 w 5829358"/>
            <a:gd name="connsiteY1" fmla="*/ 109943 h 221942"/>
            <a:gd name="connsiteX2" fmla="*/ 5829358 w 5829358"/>
            <a:gd name="connsiteY2" fmla="*/ 109943 h 221942"/>
            <a:gd name="connsiteX0" fmla="*/ 0 w 5829358"/>
            <a:gd name="connsiteY0" fmla="*/ 182431 h 366614"/>
            <a:gd name="connsiteX1" fmla="*/ 2914679 w 5829358"/>
            <a:gd name="connsiteY1" fmla="*/ 182431 h 366614"/>
            <a:gd name="connsiteX2" fmla="*/ 5829358 w 5829358"/>
            <a:gd name="connsiteY2" fmla="*/ 182431 h 366614"/>
            <a:gd name="connsiteX0" fmla="*/ 0 w 5829358"/>
            <a:gd name="connsiteY0" fmla="*/ 140557 h 283080"/>
            <a:gd name="connsiteX1" fmla="*/ 2914679 w 5829358"/>
            <a:gd name="connsiteY1" fmla="*/ 140557 h 283080"/>
            <a:gd name="connsiteX2" fmla="*/ 5829358 w 5829358"/>
            <a:gd name="connsiteY2" fmla="*/ 140557 h 283080"/>
            <a:gd name="connsiteX0" fmla="*/ 0 w 5829358"/>
            <a:gd name="connsiteY0" fmla="*/ 140557 h 232696"/>
            <a:gd name="connsiteX1" fmla="*/ 2914679 w 5829358"/>
            <a:gd name="connsiteY1" fmla="*/ 140557 h 232696"/>
            <a:gd name="connsiteX2" fmla="*/ 5829358 w 5829358"/>
            <a:gd name="connsiteY2" fmla="*/ 140557 h 232696"/>
            <a:gd name="connsiteX0" fmla="*/ 0 w 5829358"/>
            <a:gd name="connsiteY0" fmla="*/ 90369 h 182508"/>
            <a:gd name="connsiteX1" fmla="*/ 2914679 w 5829358"/>
            <a:gd name="connsiteY1" fmla="*/ 90369 h 182508"/>
            <a:gd name="connsiteX2" fmla="*/ 5829358 w 5829358"/>
            <a:gd name="connsiteY2" fmla="*/ 90369 h 182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9358" h="182508">
              <a:moveTo>
                <a:pt x="0" y="90369"/>
              </a:moveTo>
              <a:cubicBezTo>
                <a:pt x="1354896" y="219599"/>
                <a:pt x="1731623" y="206675"/>
                <a:pt x="2914679" y="90369"/>
              </a:cubicBezTo>
              <a:cubicBezTo>
                <a:pt x="4097735" y="-25937"/>
                <a:pt x="4095309" y="-34237"/>
                <a:pt x="5829358" y="90369"/>
              </a:cubicBezTo>
            </a:path>
          </a:pathLst>
        </a:cu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8"/>
  <sheetViews>
    <sheetView showGridLines="0" tabSelected="1" zoomScaleNormal="100" workbookViewId="0"/>
  </sheetViews>
  <sheetFormatPr defaultRowHeight="16.5" x14ac:dyDescent="0.4"/>
  <cols>
    <col min="1" max="8" width="10.625" style="3" customWidth="1"/>
    <col min="9" max="9" width="15.625" style="92" customWidth="1"/>
    <col min="10" max="11" width="9" style="62" hidden="1" customWidth="1"/>
    <col min="12" max="12" width="9" style="61" hidden="1" customWidth="1"/>
    <col min="13" max="13" width="12.125" style="63" hidden="1" customWidth="1"/>
    <col min="14" max="14" width="11.125" style="63" hidden="1" customWidth="1"/>
    <col min="15" max="15" width="13.75" style="61" hidden="1" customWidth="1"/>
    <col min="16" max="16" width="12.25" style="61" hidden="1" customWidth="1"/>
    <col min="17" max="17" width="22.25" style="61" hidden="1" customWidth="1"/>
    <col min="18" max="18" width="23.5" style="61" hidden="1" customWidth="1"/>
    <col min="19" max="19" width="9" style="62" hidden="1" customWidth="1"/>
    <col min="20" max="20" width="9" style="92" hidden="1" customWidth="1"/>
    <col min="21" max="21" width="9" style="92" customWidth="1"/>
    <col min="22" max="23" width="9" style="92"/>
    <col min="24" max="25" width="9" style="64"/>
    <col min="26" max="16384" width="9" style="3"/>
  </cols>
  <sheetData>
    <row r="1" spans="1:25" x14ac:dyDescent="0.4">
      <c r="A1" s="69" t="s">
        <v>78</v>
      </c>
      <c r="B1" s="69"/>
      <c r="C1" s="69"/>
      <c r="D1" s="69"/>
      <c r="E1" s="69"/>
      <c r="F1" s="69"/>
      <c r="G1" s="69"/>
      <c r="H1" s="69"/>
      <c r="I1" s="97"/>
    </row>
    <row r="2" spans="1:25" x14ac:dyDescent="0.4">
      <c r="A2" s="69" t="s">
        <v>84</v>
      </c>
      <c r="B2" s="69"/>
      <c r="C2" s="69"/>
      <c r="D2" s="69"/>
      <c r="E2" s="69"/>
      <c r="F2" s="69"/>
      <c r="G2" s="69"/>
      <c r="H2" s="69"/>
      <c r="I2" s="97"/>
      <c r="K2" s="103"/>
      <c r="L2" s="104"/>
      <c r="M2" s="105"/>
      <c r="N2" s="105"/>
      <c r="O2" s="104"/>
      <c r="P2" s="104"/>
      <c r="Q2" s="104"/>
      <c r="R2" s="104"/>
      <c r="S2" s="103"/>
      <c r="T2" s="93"/>
    </row>
    <row r="3" spans="1:25" x14ac:dyDescent="0.4">
      <c r="A3" s="69" t="s">
        <v>200</v>
      </c>
      <c r="B3" s="69"/>
      <c r="C3" s="69"/>
      <c r="D3" s="69"/>
      <c r="E3" s="69"/>
      <c r="F3" s="69"/>
      <c r="G3" s="69"/>
      <c r="H3" s="69"/>
      <c r="I3" s="97"/>
      <c r="K3" s="103"/>
      <c r="L3" s="104"/>
      <c r="M3" s="105"/>
      <c r="N3" s="105"/>
      <c r="O3" s="104"/>
      <c r="P3" s="104"/>
      <c r="Q3" s="104"/>
      <c r="R3" s="104"/>
      <c r="S3" s="103"/>
      <c r="T3" s="93"/>
    </row>
    <row r="4" spans="1:25" x14ac:dyDescent="0.4">
      <c r="A4" s="69" t="s">
        <v>204</v>
      </c>
      <c r="B4" s="69"/>
      <c r="C4" s="69"/>
      <c r="D4" s="69"/>
      <c r="E4" s="69"/>
      <c r="F4" s="69"/>
      <c r="G4" s="69"/>
      <c r="H4" s="69"/>
      <c r="I4" s="98"/>
      <c r="K4" s="103"/>
      <c r="L4" s="104"/>
      <c r="M4" s="105"/>
      <c r="N4" s="105"/>
      <c r="O4" s="104"/>
      <c r="P4" s="104"/>
      <c r="Q4" s="104"/>
      <c r="R4" s="104"/>
      <c r="S4" s="103"/>
      <c r="T4" s="93"/>
    </row>
    <row r="5" spans="1:25" x14ac:dyDescent="0.4">
      <c r="A5" s="69"/>
      <c r="B5" s="69"/>
      <c r="C5" s="69"/>
      <c r="D5" s="69"/>
      <c r="E5" s="69"/>
      <c r="F5" s="69"/>
      <c r="G5" s="69"/>
      <c r="H5" s="69"/>
      <c r="I5" s="98"/>
      <c r="K5" s="103"/>
      <c r="L5" s="104"/>
      <c r="M5" s="105"/>
      <c r="N5" s="105"/>
      <c r="O5" s="104"/>
      <c r="P5" s="104"/>
      <c r="Q5" s="104"/>
      <c r="R5" s="104"/>
      <c r="S5" s="103"/>
      <c r="T5" s="93"/>
    </row>
    <row r="6" spans="1:25" x14ac:dyDescent="0.4">
      <c r="A6" s="70" t="s">
        <v>3</v>
      </c>
      <c r="B6" s="71" t="s">
        <v>40</v>
      </c>
      <c r="C6" s="159"/>
      <c r="D6" s="159"/>
      <c r="E6" s="69"/>
      <c r="F6" s="69"/>
      <c r="G6" s="69"/>
      <c r="H6" s="69"/>
      <c r="I6" s="98"/>
      <c r="K6" s="103"/>
      <c r="L6" s="104"/>
      <c r="M6" s="105"/>
      <c r="N6" s="105"/>
      <c r="O6" s="104" t="s">
        <v>247</v>
      </c>
      <c r="P6" s="104"/>
      <c r="Q6" s="104"/>
      <c r="R6" s="104"/>
      <c r="S6" s="104"/>
      <c r="T6" s="93"/>
    </row>
    <row r="7" spans="1:25" x14ac:dyDescent="0.4">
      <c r="A7" s="69" t="s">
        <v>36</v>
      </c>
      <c r="B7" s="69"/>
      <c r="C7" s="69"/>
      <c r="D7" s="69"/>
      <c r="E7" s="69"/>
      <c r="F7" s="69"/>
      <c r="G7" s="69"/>
      <c r="H7" s="69"/>
      <c r="I7" s="98"/>
      <c r="K7" s="103"/>
      <c r="L7" s="104"/>
      <c r="M7" s="105" t="s">
        <v>0</v>
      </c>
      <c r="N7" s="105" t="s">
        <v>62</v>
      </c>
      <c r="O7" s="104" t="s">
        <v>69</v>
      </c>
      <c r="P7" s="104">
        <v>380000</v>
      </c>
      <c r="Q7" s="104">
        <v>260000</v>
      </c>
      <c r="R7" s="104">
        <v>130000</v>
      </c>
      <c r="S7" s="104">
        <v>0</v>
      </c>
      <c r="T7" s="93"/>
    </row>
    <row r="8" spans="1:25" s="4" customFormat="1" x14ac:dyDescent="0.4">
      <c r="A8" s="151" t="s">
        <v>37</v>
      </c>
      <c r="B8" s="151"/>
      <c r="C8" s="151" t="s">
        <v>38</v>
      </c>
      <c r="D8" s="151"/>
      <c r="E8" s="157" t="s">
        <v>183</v>
      </c>
      <c r="F8" s="158"/>
      <c r="G8" s="157" t="s">
        <v>28</v>
      </c>
      <c r="H8" s="158"/>
      <c r="I8" s="6"/>
      <c r="J8" s="61"/>
      <c r="K8" s="104"/>
      <c r="L8" s="104" t="s">
        <v>4</v>
      </c>
      <c r="M8" s="105">
        <f>A9</f>
        <v>0</v>
      </c>
      <c r="N8" s="105">
        <f>A30</f>
        <v>0</v>
      </c>
      <c r="O8" s="104" t="s">
        <v>58</v>
      </c>
      <c r="P8" s="104" t="s">
        <v>59</v>
      </c>
      <c r="Q8" s="104" t="s">
        <v>60</v>
      </c>
      <c r="R8" s="104" t="s">
        <v>61</v>
      </c>
      <c r="S8" s="104"/>
      <c r="T8" s="94"/>
      <c r="X8" s="65"/>
      <c r="Y8" s="65"/>
    </row>
    <row r="9" spans="1:25" s="4" customFormat="1" x14ac:dyDescent="0.4">
      <c r="A9" s="152"/>
      <c r="B9" s="152"/>
      <c r="C9" s="152" t="str">
        <f>IF(A9="","",IF(A9&lt;551000,0,IF(A9&lt;1619000,A9-550000,IF(A9&lt;1620000,1069000,IF(A9&lt;1622000,1070000,IF(A9&lt;1624000,1072000,IF(A9&lt;1628000,1074000,IF(A9&lt;1800000,ROUNDDOWN(A9/4,-3)*4*0.6+100000,IF(A9&lt;3600000,ROUNDDOWN(A9/4,-3)*4*0.7-80000,IF(A9&lt;6600000,ROUNDDOWN(A9/4,-3)*4*0.8-440000,IF(A9&lt;8500000,A9*0.9-1100000,IF(A9&lt;10000001,A9-1950000-((A9-8500000)*0.1),A9-2100000))))))))))))</f>
        <v/>
      </c>
      <c r="D9" s="152"/>
      <c r="E9" s="157"/>
      <c r="F9" s="158"/>
      <c r="G9" s="160"/>
      <c r="H9" s="161"/>
      <c r="I9" s="7">
        <f>IF(OR(E9="",E9="無"),4,IF(C9&lt;=9000000,1,IF(C9&lt;=9500000,2,IF(C9&lt;=10000000,3,4))))</f>
        <v>4</v>
      </c>
      <c r="J9" s="61">
        <f>IF(E9="老人",-1,IF(G9&lt;=850000,1,IF(G9&lt;=1000000,2,IF(G9&lt;=1050000,3,IF(G9&lt;=1100000,4,IF(G9&lt;=1150000,5,IF(G9&lt;=1200000,6,IF(G9&lt;=1250000,7,IF(G9&lt;=1300000,8,IF(G9&lt;=1330000,9,10))))))))))</f>
        <v>1</v>
      </c>
      <c r="K9" s="104"/>
      <c r="L9" s="104" t="s">
        <v>2</v>
      </c>
      <c r="M9" s="105" t="str">
        <f>C9</f>
        <v/>
      </c>
      <c r="N9" s="105" t="str">
        <f>C30</f>
        <v/>
      </c>
      <c r="O9" s="104" t="s">
        <v>205</v>
      </c>
      <c r="P9" s="104">
        <v>330000</v>
      </c>
      <c r="Q9" s="104">
        <v>220000</v>
      </c>
      <c r="R9" s="104">
        <v>110000</v>
      </c>
      <c r="S9" s="104">
        <v>0</v>
      </c>
      <c r="T9" s="94"/>
      <c r="X9" s="65"/>
      <c r="Y9" s="65"/>
    </row>
    <row r="10" spans="1:25" x14ac:dyDescent="0.4">
      <c r="A10" s="69" t="s">
        <v>33</v>
      </c>
      <c r="B10" s="69"/>
      <c r="C10" s="69"/>
      <c r="D10" s="69"/>
      <c r="E10" s="69"/>
      <c r="F10" s="69"/>
      <c r="G10" s="69"/>
      <c r="H10" s="69"/>
      <c r="I10" s="7">
        <f>IF(OR(E9="",E9="無"),4,IF(C9&lt;=9000000,1,IF(C9&lt;=9500000,2,IF(C9&lt;=10000000,3,4))))</f>
        <v>4</v>
      </c>
      <c r="J10" s="61">
        <f>IF(E9="老人",-1,IF(G9&lt;400000,1,IF(G9&lt;450000,2,3)))</f>
        <v>1</v>
      </c>
      <c r="K10" s="103"/>
      <c r="L10" s="104"/>
      <c r="M10" s="105"/>
      <c r="N10" s="105"/>
      <c r="O10" s="104" t="s">
        <v>63</v>
      </c>
      <c r="P10" s="104">
        <v>330000</v>
      </c>
      <c r="Q10" s="104">
        <v>220000</v>
      </c>
      <c r="R10" s="104">
        <v>110000</v>
      </c>
      <c r="S10" s="104">
        <v>0</v>
      </c>
      <c r="T10" s="93"/>
    </row>
    <row r="11" spans="1:25" s="4" customFormat="1" x14ac:dyDescent="0.4">
      <c r="A11" s="151" t="s">
        <v>16</v>
      </c>
      <c r="B11" s="151"/>
      <c r="C11" s="151"/>
      <c r="D11" s="151"/>
      <c r="E11" s="153" t="s">
        <v>32</v>
      </c>
      <c r="F11" s="151" t="s">
        <v>203</v>
      </c>
      <c r="G11" s="151"/>
      <c r="H11" s="151"/>
      <c r="I11" s="6"/>
      <c r="J11" s="61"/>
      <c r="K11" s="104"/>
      <c r="L11" s="104" t="s">
        <v>43</v>
      </c>
      <c r="M11" s="105">
        <f ca="1">SUM(M12,M13,M19,M20,M21,M28,M29)</f>
        <v>0</v>
      </c>
      <c r="N11" s="105">
        <f ca="1">SUM(N12,N13,N19,N20,N21,N28,N29)</f>
        <v>0</v>
      </c>
      <c r="O11" s="104" t="s">
        <v>64</v>
      </c>
      <c r="P11" s="104">
        <v>310000</v>
      </c>
      <c r="Q11" s="104">
        <v>210000</v>
      </c>
      <c r="R11" s="104">
        <v>110000</v>
      </c>
      <c r="S11" s="104">
        <v>0</v>
      </c>
      <c r="T11" s="94"/>
      <c r="X11" s="65"/>
      <c r="Y11" s="65"/>
    </row>
    <row r="12" spans="1:25" s="4" customFormat="1" x14ac:dyDescent="0.4">
      <c r="A12" s="5" t="s">
        <v>7</v>
      </c>
      <c r="B12" s="5" t="s">
        <v>213</v>
      </c>
      <c r="C12" s="5" t="s">
        <v>8</v>
      </c>
      <c r="D12" s="5" t="s">
        <v>9</v>
      </c>
      <c r="E12" s="151"/>
      <c r="F12" s="5" t="s">
        <v>18</v>
      </c>
      <c r="G12" s="5" t="s">
        <v>19</v>
      </c>
      <c r="H12" s="5" t="s">
        <v>9</v>
      </c>
      <c r="I12" s="6"/>
      <c r="J12" s="61"/>
      <c r="K12" s="104"/>
      <c r="L12" s="104" t="s">
        <v>44</v>
      </c>
      <c r="M12" s="105">
        <f>A17</f>
        <v>0</v>
      </c>
      <c r="N12" s="105">
        <f>A38</f>
        <v>0</v>
      </c>
      <c r="O12" s="104" t="s">
        <v>65</v>
      </c>
      <c r="P12" s="104">
        <v>260000</v>
      </c>
      <c r="Q12" s="104">
        <v>180000</v>
      </c>
      <c r="R12" s="104">
        <v>90000</v>
      </c>
      <c r="S12" s="104">
        <v>0</v>
      </c>
      <c r="T12" s="94"/>
      <c r="X12" s="65"/>
      <c r="Y12" s="65"/>
    </row>
    <row r="13" spans="1:25" s="4" customFormat="1" x14ac:dyDescent="0.4">
      <c r="A13" s="5"/>
      <c r="B13" s="5"/>
      <c r="C13" s="5"/>
      <c r="D13" s="5"/>
      <c r="E13" s="5"/>
      <c r="F13" s="5"/>
      <c r="G13" s="5"/>
      <c r="H13" s="5"/>
      <c r="I13" s="6"/>
      <c r="J13" s="61"/>
      <c r="K13" s="104"/>
      <c r="L13" s="104" t="s">
        <v>45</v>
      </c>
      <c r="M13" s="105">
        <f>MIN(70000,MAX(MIN(M14+M15,28000),M15)+M16+MAX(MIN(M17+M18,28000),M18))</f>
        <v>0</v>
      </c>
      <c r="N13" s="105">
        <f>MIN(70000,MAX(MIN(N14+N15,28000),N15)+N16+MAX(MIN(N17+N18,28000),N18))</f>
        <v>0</v>
      </c>
      <c r="O13" s="104" t="s">
        <v>66</v>
      </c>
      <c r="P13" s="104">
        <v>210000</v>
      </c>
      <c r="Q13" s="104">
        <v>140000</v>
      </c>
      <c r="R13" s="104">
        <v>70000</v>
      </c>
      <c r="S13" s="104">
        <v>0</v>
      </c>
      <c r="T13" s="94"/>
      <c r="X13" s="65"/>
      <c r="Y13" s="65"/>
    </row>
    <row r="14" spans="1:25" x14ac:dyDescent="0.4">
      <c r="A14" s="69" t="s">
        <v>35</v>
      </c>
      <c r="B14" s="69"/>
      <c r="C14" s="69"/>
      <c r="D14" s="69"/>
      <c r="E14" s="69"/>
      <c r="F14" s="69"/>
      <c r="G14" s="69"/>
      <c r="H14" s="69"/>
      <c r="I14" s="98"/>
      <c r="K14" s="103"/>
      <c r="L14" s="104" t="s">
        <v>47</v>
      </c>
      <c r="M14" s="105">
        <f>IF(E17&lt;=12000,E17,IF(E17&lt;=32000,E17/2+6000,IF(E17&lt;=56000,E17/4+14000,28000)))</f>
        <v>0</v>
      </c>
      <c r="N14" s="105">
        <f>IF(E38&lt;=12000,E38,IF(E38&lt;=32000,E38/2+6000,IF(E38&lt;=56000,E38/4+14000,28000)))</f>
        <v>0</v>
      </c>
      <c r="O14" s="104" t="s">
        <v>67</v>
      </c>
      <c r="P14" s="104">
        <v>160000</v>
      </c>
      <c r="Q14" s="104">
        <v>110000</v>
      </c>
      <c r="R14" s="104">
        <v>60000</v>
      </c>
      <c r="S14" s="104">
        <v>0</v>
      </c>
      <c r="T14" s="93"/>
    </row>
    <row r="15" spans="1:25" s="4" customFormat="1" x14ac:dyDescent="0.4">
      <c r="A15" s="153" t="s">
        <v>85</v>
      </c>
      <c r="B15" s="151"/>
      <c r="C15" s="151" t="s">
        <v>21</v>
      </c>
      <c r="D15" s="151"/>
      <c r="E15" s="151" t="s">
        <v>22</v>
      </c>
      <c r="F15" s="151"/>
      <c r="G15" s="151"/>
      <c r="H15" s="151"/>
      <c r="I15" s="151"/>
      <c r="J15" s="61"/>
      <c r="K15" s="104"/>
      <c r="L15" s="104" t="s">
        <v>48</v>
      </c>
      <c r="M15" s="105">
        <f>IF(F17&lt;=15000,F17,IF(F17&lt;=40000,F17/2+7500,IF(F17&lt;=70000,F17/4+17500,35000)))</f>
        <v>0</v>
      </c>
      <c r="N15" s="105">
        <f>IF(F38&lt;=15000,F38,IF(F38&lt;=40000,F38/2+7500,IF(F38&lt;=70000,F38/4+17500,35000)))</f>
        <v>0</v>
      </c>
      <c r="O15" s="104" t="s">
        <v>68</v>
      </c>
      <c r="P15" s="104">
        <v>110000</v>
      </c>
      <c r="Q15" s="104">
        <v>80000</v>
      </c>
      <c r="R15" s="104">
        <v>40000</v>
      </c>
      <c r="S15" s="104">
        <v>0</v>
      </c>
      <c r="T15" s="94"/>
      <c r="X15" s="65"/>
      <c r="Y15" s="65"/>
    </row>
    <row r="16" spans="1:25" s="4" customFormat="1" x14ac:dyDescent="0.4">
      <c r="A16" s="151"/>
      <c r="B16" s="151"/>
      <c r="C16" s="151"/>
      <c r="D16" s="151"/>
      <c r="E16" s="5" t="s">
        <v>23</v>
      </c>
      <c r="F16" s="5" t="s">
        <v>24</v>
      </c>
      <c r="G16" s="5" t="s">
        <v>25</v>
      </c>
      <c r="H16" s="5" t="s">
        <v>26</v>
      </c>
      <c r="I16" s="90" t="s">
        <v>27</v>
      </c>
      <c r="J16" s="61"/>
      <c r="K16" s="104"/>
      <c r="L16" s="104" t="s">
        <v>49</v>
      </c>
      <c r="M16" s="105">
        <f>IF(G17&lt;=12000,G17,IF(G17&lt;=32000,G17/2+6000,IF(G17&lt;=56000,G17/4+14000,28000)))</f>
        <v>0</v>
      </c>
      <c r="N16" s="105">
        <f>IF(G38&lt;=12000,G38,IF(G38&lt;=32000,G38/2+6000,IF(G38&lt;=56000,G38/4+14000,28000)))</f>
        <v>0</v>
      </c>
      <c r="O16" s="104" t="s">
        <v>218</v>
      </c>
      <c r="P16" s="104">
        <v>60000</v>
      </c>
      <c r="Q16" s="104">
        <v>40000</v>
      </c>
      <c r="R16" s="104">
        <v>20000</v>
      </c>
      <c r="S16" s="104">
        <v>0</v>
      </c>
      <c r="T16" s="94"/>
      <c r="X16" s="65"/>
      <c r="Y16" s="65"/>
    </row>
    <row r="17" spans="1:25" s="4" customFormat="1" x14ac:dyDescent="0.4">
      <c r="A17" s="152"/>
      <c r="B17" s="152"/>
      <c r="C17" s="152"/>
      <c r="D17" s="152"/>
      <c r="E17" s="66"/>
      <c r="F17" s="66"/>
      <c r="G17" s="66"/>
      <c r="H17" s="66"/>
      <c r="I17" s="91"/>
      <c r="J17" s="61"/>
      <c r="K17" s="104"/>
      <c r="L17" s="104" t="s">
        <v>50</v>
      </c>
      <c r="M17" s="105">
        <f>IF(H17&lt;=12000,H17,IF(H17&lt;=32000,H17/2+6000,IF(H17&lt;=56000,H17/4+14000,28000)))</f>
        <v>0</v>
      </c>
      <c r="N17" s="105">
        <f>IF(H38&lt;=12000,H38,IF(H38&lt;=32000,H38/2+6000,IF(H38&lt;=56000,H38/4+14000,28000)))</f>
        <v>0</v>
      </c>
      <c r="O17" s="104" t="s">
        <v>219</v>
      </c>
      <c r="P17" s="104">
        <v>30000</v>
      </c>
      <c r="Q17" s="104">
        <v>20000</v>
      </c>
      <c r="R17" s="104">
        <v>10000</v>
      </c>
      <c r="S17" s="104">
        <v>0</v>
      </c>
      <c r="T17" s="94"/>
      <c r="X17" s="65"/>
      <c r="Y17" s="65"/>
    </row>
    <row r="18" spans="1:25" x14ac:dyDescent="0.4">
      <c r="A18" s="69" t="s">
        <v>220</v>
      </c>
      <c r="B18" s="69"/>
      <c r="C18" s="69"/>
      <c r="D18" s="69"/>
      <c r="E18" s="69"/>
      <c r="F18" s="69"/>
      <c r="G18" s="69"/>
      <c r="H18" s="69" t="s">
        <v>79</v>
      </c>
      <c r="I18" s="97"/>
      <c r="K18" s="103"/>
      <c r="L18" s="104" t="s">
        <v>51</v>
      </c>
      <c r="M18" s="105">
        <f>IF(I17&lt;=15000,I17,IF(I17&lt;=40000,I17/2+7500,IF(I17&lt;=70000,I17/4+17500,35000)))</f>
        <v>0</v>
      </c>
      <c r="N18" s="105">
        <f>IF(I38&lt;=15000,I38,IF(I38&lt;=40000,I38/2+7500,IF(I38&lt;=70000,I38/4+17500,35000)))</f>
        <v>0</v>
      </c>
      <c r="O18" s="104" t="s">
        <v>217</v>
      </c>
      <c r="P18" s="104">
        <v>0</v>
      </c>
      <c r="Q18" s="104">
        <v>0</v>
      </c>
      <c r="R18" s="104">
        <v>0</v>
      </c>
      <c r="S18" s="104">
        <v>0</v>
      </c>
      <c r="T18" s="93"/>
    </row>
    <row r="19" spans="1:25" s="4" customFormat="1" ht="16.5" customHeight="1" x14ac:dyDescent="0.4">
      <c r="A19" s="151" t="s">
        <v>29</v>
      </c>
      <c r="B19" s="151"/>
      <c r="C19" s="154" t="s">
        <v>210</v>
      </c>
      <c r="D19" s="155"/>
      <c r="E19" s="156" t="s">
        <v>223</v>
      </c>
      <c r="F19" s="151" t="s">
        <v>12</v>
      </c>
      <c r="G19" s="72"/>
      <c r="H19" s="151" t="s">
        <v>80</v>
      </c>
      <c r="I19" s="151" t="s">
        <v>201</v>
      </c>
      <c r="J19" s="61"/>
      <c r="K19" s="104"/>
      <c r="L19" s="104" t="s">
        <v>46</v>
      </c>
      <c r="M19" s="105">
        <f>ROUNDDOWN(IF(C17&lt;=50000,C17/2,25000),0)</f>
        <v>0</v>
      </c>
      <c r="N19" s="105">
        <f>ROUNDDOWN(IF(C38&lt;=50000,C38/2,25000),0)</f>
        <v>0</v>
      </c>
      <c r="O19" s="104"/>
      <c r="P19" s="104"/>
      <c r="Q19" s="104"/>
      <c r="R19" s="104"/>
      <c r="S19" s="104"/>
      <c r="T19" s="94"/>
      <c r="X19" s="65"/>
      <c r="Y19" s="65"/>
    </row>
    <row r="20" spans="1:25" s="4" customFormat="1" x14ac:dyDescent="0.4">
      <c r="A20" s="5" t="s">
        <v>18</v>
      </c>
      <c r="B20" s="5" t="s">
        <v>9</v>
      </c>
      <c r="C20" s="73" t="s">
        <v>211</v>
      </c>
      <c r="D20" s="74" t="s">
        <v>212</v>
      </c>
      <c r="E20" s="156"/>
      <c r="F20" s="151"/>
      <c r="G20" s="72"/>
      <c r="H20" s="151"/>
      <c r="I20" s="151"/>
      <c r="J20" s="61"/>
      <c r="K20" s="104"/>
      <c r="L20" s="104" t="s">
        <v>53</v>
      </c>
      <c r="M20" s="105">
        <f ca="1">OFFSET(O8,J9,I9,1,1)</f>
        <v>0</v>
      </c>
      <c r="N20" s="105">
        <f ca="1">OFFSET(O8,J30,I30,1,1)</f>
        <v>0</v>
      </c>
      <c r="O20" s="104"/>
      <c r="P20" s="104"/>
      <c r="Q20" s="104"/>
      <c r="R20" s="104"/>
      <c r="S20" s="104"/>
      <c r="T20" s="94"/>
      <c r="X20" s="65"/>
      <c r="Y20" s="65"/>
    </row>
    <row r="21" spans="1:25" s="4" customFormat="1" x14ac:dyDescent="0.4">
      <c r="A21" s="5"/>
      <c r="B21" s="5"/>
      <c r="C21" s="67"/>
      <c r="D21" s="67"/>
      <c r="E21" s="5"/>
      <c r="F21" s="5"/>
      <c r="G21" s="72"/>
      <c r="H21" s="66">
        <f ca="1">M11</f>
        <v>0</v>
      </c>
      <c r="I21" s="91">
        <f>M38</f>
        <v>0</v>
      </c>
      <c r="J21" s="61"/>
      <c r="K21" s="104"/>
      <c r="L21" s="104" t="s">
        <v>52</v>
      </c>
      <c r="M21" s="105">
        <f>SUM(M22:M28)</f>
        <v>0</v>
      </c>
      <c r="N21" s="105">
        <f>SUM(N22:N25)</f>
        <v>0</v>
      </c>
      <c r="O21" s="104" t="s">
        <v>69</v>
      </c>
      <c r="P21" s="104">
        <v>100000</v>
      </c>
      <c r="Q21" s="104">
        <v>60000</v>
      </c>
      <c r="R21" s="104">
        <v>30000</v>
      </c>
      <c r="S21" s="104">
        <v>0</v>
      </c>
      <c r="T21" s="94"/>
      <c r="X21" s="65"/>
      <c r="Y21" s="65"/>
    </row>
    <row r="22" spans="1:25" x14ac:dyDescent="0.4">
      <c r="A22" s="69"/>
      <c r="B22" s="69"/>
      <c r="C22" s="69"/>
      <c r="D22" s="69"/>
      <c r="E22" s="69"/>
      <c r="F22" s="69"/>
      <c r="G22" s="69"/>
      <c r="H22" s="69" t="s">
        <v>81</v>
      </c>
      <c r="I22" s="97"/>
      <c r="K22" s="103"/>
      <c r="L22" s="104" t="s">
        <v>7</v>
      </c>
      <c r="M22" s="105">
        <f>A13*450000</f>
        <v>0</v>
      </c>
      <c r="N22" s="105">
        <f>A34*450000</f>
        <v>0</v>
      </c>
      <c r="O22" s="104" t="s">
        <v>58</v>
      </c>
      <c r="P22" s="104" t="s">
        <v>59</v>
      </c>
      <c r="Q22" s="104" t="s">
        <v>60</v>
      </c>
      <c r="R22" s="104" t="s">
        <v>61</v>
      </c>
      <c r="S22" s="104"/>
      <c r="T22" s="93"/>
    </row>
    <row r="23" spans="1:25" x14ac:dyDescent="0.4">
      <c r="A23" s="100"/>
      <c r="B23" s="101"/>
      <c r="C23" s="69"/>
      <c r="D23" s="76" t="s">
        <v>39</v>
      </c>
      <c r="E23" s="76"/>
      <c r="F23" s="75">
        <f>I21</f>
        <v>0</v>
      </c>
      <c r="G23" s="69"/>
      <c r="H23" s="69" t="s">
        <v>82</v>
      </c>
      <c r="I23" s="97"/>
      <c r="K23" s="103"/>
      <c r="L23" s="104" t="s">
        <v>213</v>
      </c>
      <c r="M23" s="105">
        <f>B13*450000</f>
        <v>0</v>
      </c>
      <c r="N23" s="105">
        <f>B34*450000</f>
        <v>0</v>
      </c>
      <c r="O23" s="104" t="s">
        <v>205</v>
      </c>
      <c r="P23" s="104">
        <v>50000</v>
      </c>
      <c r="Q23" s="104">
        <v>40000</v>
      </c>
      <c r="R23" s="104">
        <v>20000</v>
      </c>
      <c r="S23" s="104">
        <v>0</v>
      </c>
      <c r="T23" s="93"/>
    </row>
    <row r="24" spans="1:25" x14ac:dyDescent="0.4">
      <c r="A24" s="69"/>
      <c r="B24" s="69"/>
      <c r="C24" s="69"/>
      <c r="D24" s="77" t="s">
        <v>41</v>
      </c>
      <c r="E24" s="77"/>
      <c r="F24" s="78">
        <f ca="1">M45</f>
        <v>0</v>
      </c>
      <c r="G24" s="69"/>
      <c r="H24" s="69" t="s">
        <v>83</v>
      </c>
      <c r="I24" s="97"/>
      <c r="K24" s="103"/>
      <c r="L24" s="104" t="s">
        <v>8</v>
      </c>
      <c r="M24" s="105">
        <f>C13*380000</f>
        <v>0</v>
      </c>
      <c r="N24" s="105">
        <f>C34*380000</f>
        <v>0</v>
      </c>
      <c r="O24" s="104" t="s">
        <v>206</v>
      </c>
      <c r="P24" s="104">
        <v>30000</v>
      </c>
      <c r="Q24" s="104">
        <v>20000</v>
      </c>
      <c r="R24" s="104">
        <v>10000</v>
      </c>
      <c r="S24" s="104">
        <v>0</v>
      </c>
      <c r="T24" s="93"/>
    </row>
    <row r="25" spans="1:25" x14ac:dyDescent="0.4">
      <c r="A25" s="69"/>
      <c r="B25" s="69"/>
      <c r="C25" s="69"/>
      <c r="D25" s="69"/>
      <c r="E25" s="69"/>
      <c r="F25" s="69" t="s">
        <v>221</v>
      </c>
      <c r="G25" s="69"/>
      <c r="H25" s="69"/>
      <c r="I25" s="97"/>
      <c r="K25" s="103"/>
      <c r="L25" s="104" t="s">
        <v>9</v>
      </c>
      <c r="M25" s="105">
        <f>D13*330000</f>
        <v>0</v>
      </c>
      <c r="N25" s="105">
        <f>D34*330000</f>
        <v>0</v>
      </c>
      <c r="O25" s="104" t="s">
        <v>207</v>
      </c>
      <c r="P25" s="104">
        <v>0</v>
      </c>
      <c r="Q25" s="104">
        <v>0</v>
      </c>
      <c r="R25" s="104">
        <v>0</v>
      </c>
      <c r="S25" s="104">
        <v>0</v>
      </c>
      <c r="T25" s="93"/>
    </row>
    <row r="26" spans="1:25" x14ac:dyDescent="0.4">
      <c r="A26" s="69"/>
      <c r="B26" s="69"/>
      <c r="C26" s="69"/>
      <c r="D26" s="69"/>
      <c r="E26" s="69"/>
      <c r="F26" s="69" t="s">
        <v>222</v>
      </c>
      <c r="G26" s="69"/>
      <c r="H26" s="69"/>
      <c r="I26" s="97"/>
      <c r="K26" s="103"/>
      <c r="L26" s="104" t="s">
        <v>214</v>
      </c>
      <c r="M26" s="105">
        <f>F13*300000</f>
        <v>0</v>
      </c>
      <c r="N26" s="105">
        <f>F34*300000</f>
        <v>0</v>
      </c>
      <c r="O26" s="104"/>
      <c r="P26" s="104"/>
      <c r="Q26" s="104"/>
      <c r="R26" s="104"/>
      <c r="S26" s="104"/>
      <c r="T26" s="93"/>
    </row>
    <row r="27" spans="1:25" x14ac:dyDescent="0.4">
      <c r="A27" s="70" t="s">
        <v>13</v>
      </c>
      <c r="B27" s="71" t="s">
        <v>40</v>
      </c>
      <c r="C27" s="159"/>
      <c r="D27" s="159"/>
      <c r="E27" s="69"/>
      <c r="F27" s="69"/>
      <c r="G27" s="69"/>
      <c r="H27" s="69"/>
      <c r="I27" s="97"/>
      <c r="K27" s="103"/>
      <c r="L27" s="104" t="s">
        <v>215</v>
      </c>
      <c r="M27" s="105">
        <f>H13*260000</f>
        <v>0</v>
      </c>
      <c r="N27" s="105">
        <f>H34*260000</f>
        <v>0</v>
      </c>
      <c r="O27" s="104"/>
      <c r="P27" s="104"/>
      <c r="Q27" s="104"/>
      <c r="R27" s="104"/>
      <c r="S27" s="104"/>
      <c r="T27" s="93"/>
    </row>
    <row r="28" spans="1:25" x14ac:dyDescent="0.4">
      <c r="A28" s="69" t="s">
        <v>36</v>
      </c>
      <c r="B28" s="69"/>
      <c r="C28" s="69"/>
      <c r="D28" s="69"/>
      <c r="E28" s="69"/>
      <c r="F28" s="69"/>
      <c r="G28" s="69"/>
      <c r="H28" s="69"/>
      <c r="I28" s="98"/>
      <c r="K28" s="103"/>
      <c r="L28" s="104" t="s">
        <v>216</v>
      </c>
      <c r="M28" s="105">
        <f>G13*530000</f>
        <v>0</v>
      </c>
      <c r="N28" s="105">
        <f>G34*530000</f>
        <v>0</v>
      </c>
      <c r="O28" s="104"/>
      <c r="P28" s="104"/>
      <c r="Q28" s="104"/>
      <c r="R28" s="104"/>
      <c r="S28" s="104"/>
      <c r="T28" s="93"/>
    </row>
    <row r="29" spans="1:25" x14ac:dyDescent="0.4">
      <c r="A29" s="151" t="s">
        <v>37</v>
      </c>
      <c r="B29" s="151"/>
      <c r="C29" s="151" t="s">
        <v>38</v>
      </c>
      <c r="D29" s="151"/>
      <c r="E29" s="157" t="s">
        <v>183</v>
      </c>
      <c r="F29" s="158"/>
      <c r="G29" s="157" t="s">
        <v>28</v>
      </c>
      <c r="H29" s="158"/>
      <c r="I29" s="6"/>
      <c r="J29" s="61"/>
      <c r="K29" s="103"/>
      <c r="L29" s="104" t="s">
        <v>54</v>
      </c>
      <c r="M29" s="105">
        <f>SUM(M30:M36)</f>
        <v>0</v>
      </c>
      <c r="N29" s="105">
        <f>SUM(N30:N36)</f>
        <v>0</v>
      </c>
      <c r="O29" s="104"/>
      <c r="P29" s="104"/>
      <c r="Q29" s="104"/>
      <c r="R29" s="104"/>
      <c r="S29" s="104"/>
      <c r="T29" s="93"/>
    </row>
    <row r="30" spans="1:25" x14ac:dyDescent="0.4">
      <c r="A30" s="152"/>
      <c r="B30" s="152"/>
      <c r="C30" s="152" t="str">
        <f>IF(A30="","",IF(A30&lt;551000,0,IF(A30&lt;1619000,A30-550000,IF(A30&lt;1620000,1069000,IF(A30&lt;1622000,1070000,IF(A30&lt;1624000,1072000,IF(A30&lt;1628000,1074000,IF(A30&lt;1800000,ROUNDDOWN(A30/4,-3)*4*0.6+100000,IF(A30&lt;3600000,ROUNDDOWN(A30/4,-3)*4*0.7-80000,IF(A30&lt;6600000,ROUNDDOWN(A30/4,-3)*4*0.8-440000,IF(A30&lt;8500000,A30*0.9-1100000,IF(A30&lt;10000001,A30-1950000-((A30-8500000)*0.1),A30-2100000))))))))))))</f>
        <v/>
      </c>
      <c r="D30" s="152"/>
      <c r="E30" s="157"/>
      <c r="F30" s="158"/>
      <c r="G30" s="160"/>
      <c r="H30" s="161"/>
      <c r="I30" s="7">
        <f>IF(OR(E30="無",E30=""),4,IF(C30&lt;=9000000,1,IF(C30&lt;=9500000,2,IF(C30&lt;=10000000,3,4))))</f>
        <v>4</v>
      </c>
      <c r="J30" s="61">
        <f>IF(E30="老人",-1,IF(G30&lt;=850000,1,IF(G30&lt;=1000000,2,IF(G30&lt;=1050000,3,IF(G30&lt;=1100000,4,IF(G30&lt;=1150000,5,IF(G30&lt;=1200000,6,IF(G30&lt;=1250000,7,IF(G30&lt;=1300000,8,IF(G30&lt;=1330000,9,10))))))))))</f>
        <v>1</v>
      </c>
      <c r="K30" s="103"/>
      <c r="L30" s="104" t="s">
        <v>55</v>
      </c>
      <c r="M30" s="105" t="str">
        <f>IF(C9="","",IF(C9&lt;24000001,430000,IF(C9&lt;24500001,290000,IF(C9&lt;25000001,150000,0))))</f>
        <v/>
      </c>
      <c r="N30" s="105" t="str">
        <f>IF(C30="","",IF(C30&lt;24000001,430000,IF(C30&lt;24500001,290000,IF(C30&lt;25000001,150000,0))))</f>
        <v/>
      </c>
      <c r="O30" s="104"/>
      <c r="P30" s="104"/>
      <c r="Q30" s="104"/>
      <c r="R30" s="104"/>
      <c r="S30" s="104"/>
      <c r="T30" s="93"/>
    </row>
    <row r="31" spans="1:25" x14ac:dyDescent="0.4">
      <c r="A31" s="69" t="s">
        <v>33</v>
      </c>
      <c r="B31" s="69"/>
      <c r="C31" s="69"/>
      <c r="D31" s="69"/>
      <c r="E31" s="69"/>
      <c r="F31" s="69"/>
      <c r="G31" s="69"/>
      <c r="H31" s="69"/>
      <c r="I31" s="7">
        <f>IF(OR(E30="無",E30=""),4,IF(C30&lt;=9000000,1,IF(C30&lt;=9500000,2,IF(C30&lt;=10000000,3,4))))</f>
        <v>4</v>
      </c>
      <c r="J31" s="61">
        <f>IF(E30="老人",-1,IF(G30&lt;400000,1,IF(G30&lt;450000,2,3)))</f>
        <v>1</v>
      </c>
      <c r="K31" s="103"/>
      <c r="L31" s="104" t="s">
        <v>10</v>
      </c>
      <c r="M31" s="105">
        <f>IF(B21="○",260000,0)</f>
        <v>0</v>
      </c>
      <c r="N31" s="105">
        <f>IF(B42="○",260000,0)</f>
        <v>0</v>
      </c>
      <c r="O31" s="104"/>
      <c r="P31" s="104"/>
      <c r="Q31" s="104"/>
      <c r="R31" s="104"/>
      <c r="S31" s="104"/>
      <c r="T31" s="93"/>
    </row>
    <row r="32" spans="1:25" x14ac:dyDescent="0.4">
      <c r="A32" s="151" t="s">
        <v>16</v>
      </c>
      <c r="B32" s="151"/>
      <c r="C32" s="151"/>
      <c r="D32" s="151"/>
      <c r="E32" s="153" t="s">
        <v>32</v>
      </c>
      <c r="F32" s="151" t="s">
        <v>203</v>
      </c>
      <c r="G32" s="151"/>
      <c r="H32" s="151"/>
      <c r="I32" s="6"/>
      <c r="J32" s="61"/>
      <c r="K32" s="103"/>
      <c r="L32" s="104" t="s">
        <v>11</v>
      </c>
      <c r="M32" s="105">
        <f>IF(A21="○",300000,0)</f>
        <v>0</v>
      </c>
      <c r="N32" s="105">
        <f>IF(A42="○",300000,0)</f>
        <v>0</v>
      </c>
      <c r="O32" s="104"/>
      <c r="P32" s="104"/>
      <c r="Q32" s="104"/>
      <c r="R32" s="104"/>
      <c r="S32" s="103"/>
      <c r="T32" s="93"/>
    </row>
    <row r="33" spans="1:20" x14ac:dyDescent="0.4">
      <c r="A33" s="5" t="s">
        <v>7</v>
      </c>
      <c r="B33" s="5" t="s">
        <v>17</v>
      </c>
      <c r="C33" s="5" t="s">
        <v>8</v>
      </c>
      <c r="D33" s="5" t="s">
        <v>9</v>
      </c>
      <c r="E33" s="151"/>
      <c r="F33" s="5" t="s">
        <v>18</v>
      </c>
      <c r="G33" s="5" t="s">
        <v>19</v>
      </c>
      <c r="H33" s="5" t="s">
        <v>9</v>
      </c>
      <c r="I33" s="6"/>
      <c r="J33" s="61"/>
      <c r="K33" s="103"/>
      <c r="L33" s="104" t="s">
        <v>208</v>
      </c>
      <c r="M33" s="105">
        <f>IF(C21="○",300000,0)</f>
        <v>0</v>
      </c>
      <c r="N33" s="105">
        <f>IF(C42="○",300000,0)</f>
        <v>0</v>
      </c>
      <c r="O33" s="104"/>
      <c r="P33" s="104"/>
      <c r="Q33" s="104"/>
      <c r="R33" s="104"/>
      <c r="S33" s="103"/>
      <c r="T33" s="93"/>
    </row>
    <row r="34" spans="1:20" x14ac:dyDescent="0.4">
      <c r="A34" s="5"/>
      <c r="B34" s="5"/>
      <c r="C34" s="5"/>
      <c r="D34" s="5"/>
      <c r="E34" s="5"/>
      <c r="F34" s="5"/>
      <c r="G34" s="5"/>
      <c r="H34" s="5"/>
      <c r="I34" s="6"/>
      <c r="J34" s="61"/>
      <c r="K34" s="103"/>
      <c r="L34" s="104" t="s">
        <v>209</v>
      </c>
      <c r="M34" s="105">
        <f>IF(D21="○",300000,0)</f>
        <v>0</v>
      </c>
      <c r="N34" s="105">
        <f>IF(D42="○",300000,0)</f>
        <v>0</v>
      </c>
      <c r="O34" s="104"/>
      <c r="P34" s="104"/>
      <c r="Q34" s="104"/>
      <c r="R34" s="104"/>
      <c r="S34" s="103"/>
      <c r="T34" s="93"/>
    </row>
    <row r="35" spans="1:20" x14ac:dyDescent="0.4">
      <c r="A35" s="69" t="s">
        <v>35</v>
      </c>
      <c r="B35" s="69"/>
      <c r="C35" s="69"/>
      <c r="D35" s="69"/>
      <c r="E35" s="69"/>
      <c r="F35" s="69"/>
      <c r="G35" s="69"/>
      <c r="H35" s="69"/>
      <c r="I35" s="98"/>
      <c r="K35" s="103"/>
      <c r="L35" s="104" t="s">
        <v>223</v>
      </c>
      <c r="M35" s="105">
        <f>IF(E21="○",260000,0)</f>
        <v>0</v>
      </c>
      <c r="N35" s="105">
        <f>IF(E42="○",260000,0)</f>
        <v>0</v>
      </c>
      <c r="O35" s="104"/>
      <c r="P35" s="104"/>
      <c r="Q35" s="104"/>
      <c r="R35" s="104"/>
      <c r="S35" s="103"/>
      <c r="T35" s="93"/>
    </row>
    <row r="36" spans="1:20" x14ac:dyDescent="0.4">
      <c r="A36" s="153" t="s">
        <v>85</v>
      </c>
      <c r="B36" s="151"/>
      <c r="C36" s="151" t="s">
        <v>21</v>
      </c>
      <c r="D36" s="151"/>
      <c r="E36" s="151" t="s">
        <v>22</v>
      </c>
      <c r="F36" s="151"/>
      <c r="G36" s="151"/>
      <c r="H36" s="151"/>
      <c r="I36" s="151"/>
      <c r="J36" s="61"/>
      <c r="K36" s="103"/>
      <c r="L36" s="104" t="s">
        <v>12</v>
      </c>
      <c r="M36" s="105">
        <f>IF(F21="○",260000,0)</f>
        <v>0</v>
      </c>
      <c r="N36" s="105">
        <f>IF(F42="○",260000,0)</f>
        <v>0</v>
      </c>
      <c r="O36" s="104"/>
      <c r="P36" s="104"/>
      <c r="Q36" s="104"/>
      <c r="R36" s="104"/>
      <c r="S36" s="103"/>
      <c r="T36" s="93"/>
    </row>
    <row r="37" spans="1:20" x14ac:dyDescent="0.4">
      <c r="A37" s="151"/>
      <c r="B37" s="151"/>
      <c r="C37" s="151"/>
      <c r="D37" s="151"/>
      <c r="E37" s="5" t="s">
        <v>23</v>
      </c>
      <c r="F37" s="5" t="s">
        <v>24</v>
      </c>
      <c r="G37" s="5" t="s">
        <v>25</v>
      </c>
      <c r="H37" s="5" t="s">
        <v>26</v>
      </c>
      <c r="I37" s="90" t="s">
        <v>27</v>
      </c>
      <c r="J37" s="61"/>
      <c r="K37" s="103"/>
      <c r="L37" s="104"/>
      <c r="M37" s="105"/>
      <c r="N37" s="105"/>
      <c r="O37" s="104"/>
      <c r="P37" s="104"/>
      <c r="Q37" s="104"/>
      <c r="R37" s="104"/>
      <c r="S37" s="103"/>
      <c r="T37" s="93"/>
    </row>
    <row r="38" spans="1:20" x14ac:dyDescent="0.4">
      <c r="A38" s="152"/>
      <c r="B38" s="152"/>
      <c r="C38" s="152"/>
      <c r="D38" s="152"/>
      <c r="E38" s="66"/>
      <c r="F38" s="66"/>
      <c r="G38" s="66"/>
      <c r="H38" s="66"/>
      <c r="I38" s="91"/>
      <c r="J38" s="61"/>
      <c r="K38" s="103"/>
      <c r="L38" s="104" t="s">
        <v>1</v>
      </c>
      <c r="M38" s="105">
        <f>IF(A9="",0,ROUNDDOWN(MAX(M9-H21,0),-3))</f>
        <v>0</v>
      </c>
      <c r="N38" s="105">
        <f>IF(A30="",0,ROUNDDOWN(MAX(N9-H42,0),-3))</f>
        <v>0</v>
      </c>
      <c r="O38" s="104"/>
      <c r="P38" s="104"/>
      <c r="Q38" s="104"/>
      <c r="R38" s="104"/>
      <c r="S38" s="103"/>
      <c r="T38" s="93"/>
    </row>
    <row r="39" spans="1:20" x14ac:dyDescent="0.4">
      <c r="A39" s="69" t="s">
        <v>34</v>
      </c>
      <c r="B39" s="69"/>
      <c r="C39" s="69"/>
      <c r="D39" s="69"/>
      <c r="E39" s="69"/>
      <c r="F39" s="69"/>
      <c r="G39" s="69"/>
      <c r="H39" s="69" t="s">
        <v>79</v>
      </c>
      <c r="I39" s="97"/>
      <c r="K39" s="103"/>
      <c r="L39" s="104"/>
      <c r="M39" s="105"/>
      <c r="N39" s="105"/>
      <c r="O39" s="104"/>
      <c r="P39" s="104"/>
      <c r="Q39" s="104"/>
      <c r="R39" s="104"/>
      <c r="S39" s="103"/>
      <c r="T39" s="93"/>
    </row>
    <row r="40" spans="1:20" ht="16.5" customHeight="1" x14ac:dyDescent="0.4">
      <c r="A40" s="151" t="s">
        <v>29</v>
      </c>
      <c r="B40" s="151"/>
      <c r="C40" s="154" t="s">
        <v>210</v>
      </c>
      <c r="D40" s="155"/>
      <c r="E40" s="156" t="s">
        <v>223</v>
      </c>
      <c r="F40" s="151" t="s">
        <v>12</v>
      </c>
      <c r="G40" s="72"/>
      <c r="H40" s="152" t="s">
        <v>80</v>
      </c>
      <c r="I40" s="152" t="s">
        <v>202</v>
      </c>
      <c r="J40" s="61"/>
      <c r="K40" s="103"/>
      <c r="L40" s="104" t="s">
        <v>56</v>
      </c>
      <c r="M40" s="105">
        <f ca="1">SUM(M41:M43)</f>
        <v>50000</v>
      </c>
      <c r="N40" s="105">
        <f ca="1">SUM(N41:N43)</f>
        <v>50000</v>
      </c>
      <c r="O40" s="104"/>
      <c r="P40" s="104"/>
      <c r="Q40" s="104"/>
      <c r="R40" s="104"/>
      <c r="S40" s="103"/>
      <c r="T40" s="93"/>
    </row>
    <row r="41" spans="1:20" x14ac:dyDescent="0.4">
      <c r="A41" s="5" t="s">
        <v>18</v>
      </c>
      <c r="B41" s="5" t="s">
        <v>9</v>
      </c>
      <c r="C41" s="73" t="s">
        <v>211</v>
      </c>
      <c r="D41" s="74" t="s">
        <v>212</v>
      </c>
      <c r="E41" s="156"/>
      <c r="F41" s="151"/>
      <c r="G41" s="72"/>
      <c r="H41" s="152"/>
      <c r="I41" s="152"/>
      <c r="J41" s="61"/>
      <c r="K41" s="103"/>
      <c r="L41" s="104" t="s">
        <v>54</v>
      </c>
      <c r="M41" s="105">
        <f>50000+IF(A21="○",100000,0)+IF(B21="○",10000,0)+IF(C21="○",10000,0)+IF(D21="○",50000,0)+IF(E21="○",10000,0)+IF(F21="○",10000,0)</f>
        <v>50000</v>
      </c>
      <c r="N41" s="105">
        <f>50000+IF(A42="○",100000,0)+IF(B42="○",10000,0)+IF(C42="○",10000,0)+IF(D42="○",50000,0)+IF(E42="○",10000,0)+IF(F42="○",10000,0)</f>
        <v>50000</v>
      </c>
      <c r="O41" s="104"/>
      <c r="P41" s="104"/>
      <c r="Q41" s="104"/>
      <c r="R41" s="104"/>
      <c r="S41" s="103"/>
      <c r="T41" s="93"/>
    </row>
    <row r="42" spans="1:20" x14ac:dyDescent="0.4">
      <c r="A42" s="5"/>
      <c r="B42" s="5"/>
      <c r="C42" s="67"/>
      <c r="D42" s="67"/>
      <c r="E42" s="5"/>
      <c r="F42" s="5"/>
      <c r="G42" s="72"/>
      <c r="H42" s="66">
        <f ca="1">N11</f>
        <v>0</v>
      </c>
      <c r="I42" s="91">
        <f>N38</f>
        <v>0</v>
      </c>
      <c r="J42" s="61"/>
      <c r="K42" s="103"/>
      <c r="L42" s="104" t="s">
        <v>53</v>
      </c>
      <c r="M42" s="105">
        <f ca="1">OFFSET(O22,J10,I10,1,1)</f>
        <v>0</v>
      </c>
      <c r="N42" s="105">
        <f ca="1">OFFSET(O22,J31,I31,1,1)</f>
        <v>0</v>
      </c>
      <c r="O42" s="104"/>
      <c r="P42" s="104"/>
      <c r="Q42" s="104"/>
      <c r="R42" s="104"/>
      <c r="S42" s="103"/>
      <c r="T42" s="93"/>
    </row>
    <row r="43" spans="1:20" x14ac:dyDescent="0.4">
      <c r="A43" s="69"/>
      <c r="B43" s="69"/>
      <c r="C43" s="69"/>
      <c r="D43" s="69"/>
      <c r="E43" s="69"/>
      <c r="F43" s="69"/>
      <c r="G43" s="69"/>
      <c r="H43" s="69" t="s">
        <v>81</v>
      </c>
      <c r="I43" s="97"/>
      <c r="K43" s="103"/>
      <c r="L43" s="104" t="s">
        <v>52</v>
      </c>
      <c r="M43" s="105">
        <f>A13*180000+B13*130000+C13*100000+D13*50000+G13*220000+F13*100000+H13*10000</f>
        <v>0</v>
      </c>
      <c r="N43" s="105">
        <f>A34*180000+B34*130000+C34*100000+D34*50000+G34*220000+F34*100000+H34*10000</f>
        <v>0</v>
      </c>
      <c r="O43" s="104"/>
      <c r="P43" s="104"/>
      <c r="Q43" s="104"/>
      <c r="R43" s="104"/>
      <c r="S43" s="103"/>
      <c r="T43" s="93"/>
    </row>
    <row r="44" spans="1:20" x14ac:dyDescent="0.4">
      <c r="A44" s="102"/>
      <c r="B44" s="101"/>
      <c r="C44" s="69"/>
      <c r="D44" s="76" t="s">
        <v>39</v>
      </c>
      <c r="E44" s="76"/>
      <c r="F44" s="75">
        <f>N38</f>
        <v>0</v>
      </c>
      <c r="G44" s="69"/>
      <c r="H44" s="69" t="s">
        <v>82</v>
      </c>
      <c r="I44" s="97"/>
      <c r="K44" s="103"/>
      <c r="L44" s="104"/>
      <c r="M44" s="105"/>
      <c r="N44" s="105"/>
      <c r="O44" s="104"/>
      <c r="P44" s="104"/>
      <c r="Q44" s="104"/>
      <c r="R44" s="104"/>
      <c r="S44" s="103"/>
      <c r="T44" s="93"/>
    </row>
    <row r="45" spans="1:20" x14ac:dyDescent="0.4">
      <c r="A45" s="69"/>
      <c r="B45" s="69"/>
      <c r="C45" s="69"/>
      <c r="D45" s="77" t="s">
        <v>41</v>
      </c>
      <c r="E45" s="77"/>
      <c r="F45" s="78">
        <f ca="1">N45</f>
        <v>0</v>
      </c>
      <c r="G45" s="69"/>
      <c r="H45" s="69" t="s">
        <v>83</v>
      </c>
      <c r="I45" s="97"/>
      <c r="L45" s="61" t="s">
        <v>57</v>
      </c>
      <c r="M45" s="63">
        <f ca="1">IF(C6="政令指定都市",0.04,0.03)*IF(M38&gt;2000000,MAX(50000,M40-(M38-2000000)),MIN(M40,M38))</f>
        <v>0</v>
      </c>
      <c r="N45" s="63">
        <f ca="1">IF(C27="政令指定都市",0.04,0.03)*IF(N38&gt;2000000,MAX(50000,N40-(N38-2000000)),MIN(N40,N38))</f>
        <v>0</v>
      </c>
    </row>
    <row r="46" spans="1:20" x14ac:dyDescent="0.4">
      <c r="A46" s="69"/>
      <c r="B46" s="69"/>
      <c r="C46" s="69"/>
      <c r="D46" s="69"/>
      <c r="E46" s="69"/>
      <c r="F46" s="69" t="s">
        <v>221</v>
      </c>
      <c r="G46" s="69"/>
      <c r="H46" s="69"/>
      <c r="I46" s="97"/>
      <c r="M46" s="61" t="s">
        <v>75</v>
      </c>
      <c r="N46" s="61" t="s">
        <v>76</v>
      </c>
      <c r="O46" s="61" t="s">
        <v>77</v>
      </c>
      <c r="P46" s="61" t="s">
        <v>196</v>
      </c>
      <c r="Q46" s="62"/>
    </row>
    <row r="47" spans="1:20" x14ac:dyDescent="0.4">
      <c r="A47" s="69"/>
      <c r="B47" s="69"/>
      <c r="C47" s="69"/>
      <c r="D47" s="69"/>
      <c r="E47" s="69"/>
      <c r="F47" s="69" t="s">
        <v>222</v>
      </c>
      <c r="G47" s="69"/>
      <c r="H47" s="69"/>
      <c r="I47" s="97"/>
      <c r="J47" s="62" t="s">
        <v>193</v>
      </c>
      <c r="K47" s="62">
        <v>500</v>
      </c>
      <c r="L47" s="61">
        <v>0</v>
      </c>
      <c r="M47" s="61">
        <v>387000</v>
      </c>
      <c r="N47" s="61">
        <v>200000</v>
      </c>
      <c r="O47" s="61">
        <v>100000</v>
      </c>
      <c r="P47" s="61">
        <v>0</v>
      </c>
      <c r="Q47" s="62">
        <v>396000</v>
      </c>
    </row>
    <row r="48" spans="1:20" x14ac:dyDescent="0.4">
      <c r="A48" s="70" t="s">
        <v>70</v>
      </c>
      <c r="B48" s="69"/>
      <c r="C48" s="69"/>
      <c r="F48" s="69"/>
      <c r="G48" s="88"/>
      <c r="H48" s="88"/>
      <c r="I48" s="97"/>
      <c r="J48" s="62" t="s">
        <v>192</v>
      </c>
      <c r="K48" s="62">
        <v>609</v>
      </c>
      <c r="L48" s="61">
        <f ca="1">IF(E49=1,113700,OFFSET(L56,B52,B53))</f>
        <v>113700</v>
      </c>
      <c r="M48" s="61">
        <v>387000</v>
      </c>
      <c r="N48" s="61">
        <v>0</v>
      </c>
      <c r="O48" s="61">
        <v>100000</v>
      </c>
      <c r="P48" s="61">
        <v>154500</v>
      </c>
      <c r="Q48" s="62">
        <v>118800</v>
      </c>
    </row>
    <row r="49" spans="1:27" x14ac:dyDescent="0.4">
      <c r="A49" s="76" t="s">
        <v>71</v>
      </c>
      <c r="B49" s="80">
        <f ca="1">IF(E50="〇",S74,P78)</f>
        <v>0</v>
      </c>
      <c r="C49" s="69"/>
      <c r="D49" s="79" t="s">
        <v>191</v>
      </c>
      <c r="E49" s="68"/>
      <c r="F49" s="69"/>
      <c r="G49" s="88"/>
      <c r="H49" s="88"/>
      <c r="I49" s="97"/>
      <c r="J49" s="62" t="s">
        <v>194</v>
      </c>
      <c r="K49" s="62">
        <v>720</v>
      </c>
      <c r="L49" s="61">
        <v>162300</v>
      </c>
      <c r="M49" s="61">
        <v>387000</v>
      </c>
      <c r="N49" s="61">
        <v>0</v>
      </c>
      <c r="O49" s="61">
        <v>0</v>
      </c>
      <c r="P49" s="61">
        <v>304200</v>
      </c>
      <c r="Q49" s="62">
        <v>0</v>
      </c>
    </row>
    <row r="50" spans="1:27" x14ac:dyDescent="0.4">
      <c r="A50" s="69"/>
      <c r="B50" s="69"/>
      <c r="C50" s="69" t="s">
        <v>224</v>
      </c>
      <c r="D50" s="82" t="s">
        <v>225</v>
      </c>
      <c r="E50" s="89"/>
      <c r="F50" s="69"/>
      <c r="G50" s="88"/>
      <c r="H50" s="88"/>
      <c r="I50" s="97"/>
      <c r="J50" s="62" t="s">
        <v>195</v>
      </c>
      <c r="L50" s="61">
        <v>212700</v>
      </c>
      <c r="M50" s="61">
        <v>0</v>
      </c>
      <c r="N50" s="61">
        <v>0</v>
      </c>
      <c r="O50" s="61">
        <v>0</v>
      </c>
      <c r="Q50" s="62"/>
    </row>
    <row r="51" spans="1:27" x14ac:dyDescent="0.4">
      <c r="A51" s="69" t="s">
        <v>184</v>
      </c>
      <c r="B51" s="69"/>
      <c r="C51" s="69"/>
      <c r="D51" s="69"/>
      <c r="E51" s="99" t="s">
        <v>226</v>
      </c>
      <c r="F51" s="69"/>
      <c r="G51" s="88"/>
      <c r="H51" s="88"/>
      <c r="I51" s="97"/>
    </row>
    <row r="52" spans="1:27" x14ac:dyDescent="0.4">
      <c r="A52" s="82" t="s">
        <v>185</v>
      </c>
      <c r="B52" s="68">
        <f>SUM(E13,E34)</f>
        <v>0</v>
      </c>
      <c r="C52" s="69"/>
      <c r="E52" s="3" t="s">
        <v>227</v>
      </c>
      <c r="G52" s="88"/>
      <c r="H52" s="88"/>
      <c r="I52" s="97"/>
    </row>
    <row r="53" spans="1:27" x14ac:dyDescent="0.4">
      <c r="A53" s="69" t="s">
        <v>187</v>
      </c>
      <c r="B53" s="149">
        <f>SUM(D34,D13)</f>
        <v>0</v>
      </c>
      <c r="C53" s="69"/>
      <c r="G53" s="88"/>
      <c r="H53" s="88"/>
      <c r="I53" s="97"/>
    </row>
    <row r="54" spans="1:27" x14ac:dyDescent="0.4">
      <c r="A54" s="82" t="s">
        <v>186</v>
      </c>
      <c r="B54" s="150"/>
      <c r="C54" s="69"/>
      <c r="G54" s="88"/>
      <c r="H54" s="88"/>
      <c r="I54" s="97"/>
      <c r="L54" s="61" t="s">
        <v>189</v>
      </c>
    </row>
    <row r="55" spans="1:27" x14ac:dyDescent="0.4">
      <c r="A55" s="69" t="s">
        <v>198</v>
      </c>
      <c r="B55" s="69"/>
      <c r="C55" s="69"/>
      <c r="G55" s="69"/>
      <c r="H55" s="69"/>
      <c r="I55" s="97"/>
      <c r="K55" s="62" t="s">
        <v>188</v>
      </c>
      <c r="L55" s="61">
        <v>0</v>
      </c>
      <c r="M55" s="63">
        <v>1</v>
      </c>
      <c r="N55" s="63">
        <v>2</v>
      </c>
      <c r="O55" s="61">
        <v>3</v>
      </c>
      <c r="P55" s="61">
        <v>4</v>
      </c>
      <c r="Q55" s="61">
        <v>5</v>
      </c>
    </row>
    <row r="56" spans="1:27" x14ac:dyDescent="0.4">
      <c r="A56" s="69" t="s">
        <v>199</v>
      </c>
      <c r="B56" s="69"/>
      <c r="C56" s="69"/>
      <c r="G56" s="69"/>
      <c r="H56" s="69"/>
      <c r="I56" s="97"/>
      <c r="J56" s="62" t="s">
        <v>190</v>
      </c>
      <c r="K56" s="62">
        <v>0</v>
      </c>
      <c r="L56" s="61">
        <v>113700</v>
      </c>
      <c r="M56" s="61">
        <v>113700</v>
      </c>
      <c r="N56" s="61">
        <v>113700</v>
      </c>
      <c r="O56" s="61">
        <v>115600</v>
      </c>
      <c r="P56" s="61">
        <v>133020</v>
      </c>
      <c r="Q56" s="61">
        <v>145800</v>
      </c>
    </row>
    <row r="57" spans="1:27" ht="21" customHeight="1" x14ac:dyDescent="0.4">
      <c r="A57" s="69"/>
      <c r="B57" s="69"/>
      <c r="C57" s="69"/>
      <c r="G57" s="69"/>
      <c r="H57" s="69"/>
      <c r="I57" s="97"/>
      <c r="K57" s="62">
        <v>1</v>
      </c>
      <c r="L57" s="61">
        <v>113700</v>
      </c>
      <c r="M57" s="61">
        <v>113700</v>
      </c>
      <c r="N57" s="61">
        <v>129300</v>
      </c>
      <c r="O57" s="61">
        <v>141900</v>
      </c>
      <c r="P57" s="61">
        <v>154500</v>
      </c>
      <c r="Q57" s="61">
        <v>167100</v>
      </c>
    </row>
    <row r="58" spans="1:27" ht="18.75" customHeight="1" x14ac:dyDescent="0.4">
      <c r="A58" s="76" t="s">
        <v>72</v>
      </c>
      <c r="B58" s="76"/>
      <c r="C58" s="75">
        <f ca="1">SUM(C59:C60)</f>
        <v>396000</v>
      </c>
      <c r="D58" s="69"/>
      <c r="E58" s="69"/>
      <c r="F58" s="69"/>
      <c r="G58" s="69"/>
      <c r="H58" s="69"/>
      <c r="I58" s="97"/>
      <c r="K58" s="62">
        <v>2</v>
      </c>
      <c r="L58" s="61">
        <v>113700</v>
      </c>
      <c r="M58" s="61">
        <v>138000</v>
      </c>
      <c r="N58" s="61">
        <v>150600</v>
      </c>
      <c r="O58" s="61">
        <v>163200</v>
      </c>
      <c r="P58" s="61">
        <v>175800</v>
      </c>
      <c r="Q58" s="61">
        <v>188400</v>
      </c>
    </row>
    <row r="59" spans="1:27" x14ac:dyDescent="0.4">
      <c r="A59" s="77" t="s">
        <v>14</v>
      </c>
      <c r="B59" s="77"/>
      <c r="C59" s="81">
        <f ca="1">VLOOKUP(B49,$P$47:$Q$49,2,TRUE)</f>
        <v>396000</v>
      </c>
      <c r="D59" s="69"/>
      <c r="E59" s="69"/>
      <c r="F59" s="69"/>
      <c r="G59" s="96"/>
      <c r="K59" s="62">
        <v>3</v>
      </c>
      <c r="L59" s="61">
        <v>146700</v>
      </c>
      <c r="M59" s="61">
        <v>159300</v>
      </c>
      <c r="N59" s="61">
        <v>171900</v>
      </c>
      <c r="O59" s="61">
        <v>184500</v>
      </c>
      <c r="P59" s="61">
        <v>197100</v>
      </c>
      <c r="Q59" s="61">
        <v>209700</v>
      </c>
    </row>
    <row r="60" spans="1:27" x14ac:dyDescent="0.4">
      <c r="A60" s="77" t="s">
        <v>15</v>
      </c>
      <c r="B60" s="77"/>
      <c r="C60" s="81">
        <f ca="1">MAX(0,IF(B49&lt;K68,M47,VLOOKUP(B49,$L$47:$M$50,2,TRUE))-C59)</f>
        <v>0</v>
      </c>
      <c r="D60" s="69"/>
      <c r="E60" s="69"/>
      <c r="F60" s="69"/>
      <c r="G60" s="95"/>
      <c r="K60" s="62">
        <v>4</v>
      </c>
      <c r="L60" s="61">
        <v>168000</v>
      </c>
      <c r="M60" s="61">
        <v>180600</v>
      </c>
      <c r="N60" s="61">
        <v>193200</v>
      </c>
      <c r="O60" s="61">
        <v>205800</v>
      </c>
      <c r="P60" s="61">
        <v>218400</v>
      </c>
      <c r="Q60" s="61">
        <v>231000</v>
      </c>
    </row>
    <row r="61" spans="1:27" x14ac:dyDescent="0.4">
      <c r="A61" s="77" t="s">
        <v>73</v>
      </c>
      <c r="B61" s="77"/>
      <c r="C61" s="78">
        <f ca="1">IF(B49&lt;K68,N47,VLOOKUP(B49,$L$47:$O$50,3,TRUE))</f>
        <v>200000</v>
      </c>
      <c r="D61" s="95"/>
      <c r="E61" s="95"/>
      <c r="F61" s="95"/>
      <c r="K61" s="62">
        <v>5</v>
      </c>
      <c r="L61" s="61">
        <v>189400</v>
      </c>
      <c r="M61" s="61">
        <v>201900</v>
      </c>
      <c r="N61" s="61">
        <v>214500</v>
      </c>
      <c r="O61" s="61">
        <v>227100</v>
      </c>
      <c r="P61" s="61">
        <v>239700</v>
      </c>
      <c r="Q61" s="61">
        <v>252300</v>
      </c>
    </row>
    <row r="62" spans="1:27" ht="17.25" thickBot="1" x14ac:dyDescent="0.45">
      <c r="A62" s="83" t="s">
        <v>74</v>
      </c>
      <c r="B62" s="83"/>
      <c r="C62" s="84">
        <f>IF(E49=1,IF(B49&lt;K68,O47,VLOOKUP(B49,$L$47:$O$50,4,TRUE)),0)</f>
        <v>0</v>
      </c>
      <c r="D62" s="95"/>
      <c r="E62" s="95"/>
      <c r="F62" s="95"/>
    </row>
    <row r="63" spans="1:27" ht="18" thickTop="1" thickBot="1" x14ac:dyDescent="0.45">
      <c r="A63" s="85" t="s">
        <v>197</v>
      </c>
      <c r="B63" s="86"/>
      <c r="C63" s="87">
        <f ca="1">SUM(C58,C61,C62)</f>
        <v>596000</v>
      </c>
      <c r="J63" s="117" t="s">
        <v>228</v>
      </c>
      <c r="K63" s="118"/>
      <c r="M63" s="119" t="s">
        <v>231</v>
      </c>
      <c r="N63" s="120" t="s">
        <v>233</v>
      </c>
      <c r="O63" s="121">
        <f>F23</f>
        <v>0</v>
      </c>
      <c r="P63" s="122"/>
      <c r="Q63" s="120"/>
      <c r="R63" s="120"/>
      <c r="S63" s="123"/>
    </row>
    <row r="64" spans="1:27" ht="17.25" thickTop="1" x14ac:dyDescent="0.4">
      <c r="J64" s="124" t="s">
        <v>185</v>
      </c>
      <c r="K64" s="125">
        <f>IF($E$50="",B52,IF($E$50="〇",MAX(0,B52-1)))</f>
        <v>0</v>
      </c>
      <c r="M64" s="126" t="s">
        <v>231</v>
      </c>
      <c r="N64" s="127" t="s">
        <v>235</v>
      </c>
      <c r="O64" s="128">
        <f ca="1">F24</f>
        <v>0</v>
      </c>
      <c r="P64" s="127">
        <f ca="1">IF(C6="政令指定都市",O64*3/4,O64)</f>
        <v>0</v>
      </c>
      <c r="Q64" s="127"/>
      <c r="R64" s="127"/>
      <c r="S64" s="129"/>
      <c r="T64" s="4"/>
      <c r="X64" s="92"/>
      <c r="Y64" s="92"/>
      <c r="Z64" s="64"/>
      <c r="AA64" s="64"/>
    </row>
    <row r="65" spans="10:27" x14ac:dyDescent="0.4">
      <c r="J65" s="130" t="s">
        <v>187</v>
      </c>
      <c r="K65" s="147">
        <f>IF($E$50="",B53,IF($E$50="〇",MAX(0,B53+1)))</f>
        <v>0</v>
      </c>
      <c r="M65" s="126" t="s">
        <v>232</v>
      </c>
      <c r="N65" s="127" t="s">
        <v>234</v>
      </c>
      <c r="O65" s="128">
        <f>F44</f>
        <v>0</v>
      </c>
      <c r="P65" s="127"/>
      <c r="Q65" s="127"/>
      <c r="R65" s="127"/>
      <c r="S65" s="131"/>
      <c r="T65" s="4"/>
      <c r="X65" s="92"/>
      <c r="Y65" s="92"/>
      <c r="Z65" s="64"/>
      <c r="AA65" s="64"/>
    </row>
    <row r="66" spans="10:27" x14ac:dyDescent="0.4">
      <c r="J66" s="124" t="s">
        <v>186</v>
      </c>
      <c r="K66" s="148"/>
      <c r="M66" s="132" t="s">
        <v>232</v>
      </c>
      <c r="N66" s="133" t="s">
        <v>235</v>
      </c>
      <c r="O66" s="121">
        <f ca="1">F45</f>
        <v>0</v>
      </c>
      <c r="P66" s="133">
        <f ca="1">IF(C27="政令指定都市",O66*3/4,O66)</f>
        <v>0</v>
      </c>
      <c r="Q66" s="133"/>
      <c r="R66" s="133"/>
      <c r="S66" s="134"/>
      <c r="T66" s="4"/>
      <c r="X66" s="92"/>
      <c r="Y66" s="92"/>
      <c r="Z66" s="64"/>
      <c r="AA66" s="64"/>
    </row>
    <row r="67" spans="10:27" x14ac:dyDescent="0.4">
      <c r="J67" s="135" t="s">
        <v>229</v>
      </c>
      <c r="K67" s="131"/>
      <c r="M67" s="136" t="s">
        <v>230</v>
      </c>
      <c r="N67" s="127"/>
      <c r="O67" s="137"/>
      <c r="P67" s="127"/>
      <c r="Q67" s="127"/>
      <c r="R67" s="127"/>
      <c r="S67" s="131"/>
      <c r="T67" s="4"/>
      <c r="X67" s="92"/>
      <c r="Y67" s="92"/>
      <c r="Z67" s="64"/>
      <c r="AA67" s="64"/>
    </row>
    <row r="68" spans="10:27" x14ac:dyDescent="0.4">
      <c r="J68" s="138"/>
      <c r="K68" s="134">
        <f>INDEX(K55:Q61,K64+2,K65+2)</f>
        <v>113700</v>
      </c>
      <c r="M68" s="126"/>
      <c r="N68" s="137"/>
      <c r="O68" s="127" t="s">
        <v>237</v>
      </c>
      <c r="P68" s="137">
        <f>MIN(O63,O65)</f>
        <v>0</v>
      </c>
      <c r="Q68" s="127" t="s">
        <v>236</v>
      </c>
      <c r="R68" s="127">
        <f>P68*0.06</f>
        <v>0</v>
      </c>
      <c r="S68" s="129"/>
      <c r="T68" s="4"/>
      <c r="X68" s="92"/>
      <c r="Y68" s="92"/>
      <c r="Z68" s="64"/>
      <c r="AA68" s="64"/>
    </row>
    <row r="69" spans="10:27" x14ac:dyDescent="0.4">
      <c r="M69" s="126"/>
      <c r="N69" s="127"/>
      <c r="O69" s="127" t="s">
        <v>238</v>
      </c>
      <c r="P69" s="137">
        <f>MAX(O63,O65)</f>
        <v>0</v>
      </c>
      <c r="Q69" s="127"/>
      <c r="R69" s="127"/>
      <c r="S69" s="131"/>
    </row>
    <row r="70" spans="10:27" x14ac:dyDescent="0.4">
      <c r="M70" s="126"/>
      <c r="N70" s="127"/>
      <c r="O70" s="127"/>
      <c r="P70" s="127" t="s">
        <v>239</v>
      </c>
      <c r="Q70" s="137">
        <f>P69-330000</f>
        <v>-330000</v>
      </c>
      <c r="R70" s="127"/>
      <c r="S70" s="131"/>
    </row>
    <row r="71" spans="10:27" x14ac:dyDescent="0.4">
      <c r="M71" s="126"/>
      <c r="N71" s="127"/>
      <c r="O71" s="127"/>
      <c r="P71" s="127"/>
      <c r="Q71" s="127" t="s">
        <v>236</v>
      </c>
      <c r="R71" s="127">
        <f>ROUNDDOWN(Q70*0.06,0)</f>
        <v>-19800</v>
      </c>
      <c r="S71" s="129"/>
    </row>
    <row r="72" spans="10:27" x14ac:dyDescent="0.4">
      <c r="M72" s="126"/>
      <c r="N72" s="127"/>
      <c r="O72" s="127"/>
      <c r="P72" s="127"/>
      <c r="Q72" s="127" t="s">
        <v>240</v>
      </c>
      <c r="R72" s="127">
        <f>R68+R71</f>
        <v>-19800</v>
      </c>
      <c r="S72" s="129"/>
    </row>
    <row r="73" spans="10:27" x14ac:dyDescent="0.4">
      <c r="M73" s="126"/>
      <c r="N73" s="127"/>
      <c r="O73" s="127"/>
      <c r="P73" s="127"/>
      <c r="Q73" s="127"/>
      <c r="R73" s="127" t="s">
        <v>241</v>
      </c>
      <c r="S73" s="139">
        <f ca="1">P64+P66</f>
        <v>0</v>
      </c>
    </row>
    <row r="74" spans="10:27" x14ac:dyDescent="0.4">
      <c r="M74" s="132"/>
      <c r="N74" s="133"/>
      <c r="O74" s="133"/>
      <c r="P74" s="133"/>
      <c r="Q74" s="133"/>
      <c r="R74" s="133" t="s">
        <v>246</v>
      </c>
      <c r="S74" s="140">
        <f ca="1">R72-S73</f>
        <v>-19800</v>
      </c>
    </row>
    <row r="75" spans="10:27" x14ac:dyDescent="0.4">
      <c r="M75" s="141" t="s">
        <v>243</v>
      </c>
      <c r="N75" s="122"/>
      <c r="O75" s="120"/>
      <c r="P75" s="120"/>
      <c r="Q75" s="120"/>
      <c r="R75" s="120"/>
      <c r="S75" s="142"/>
    </row>
    <row r="76" spans="10:27" x14ac:dyDescent="0.4">
      <c r="M76" s="143"/>
      <c r="N76" s="137" t="s">
        <v>244</v>
      </c>
      <c r="O76" s="127" t="s">
        <v>242</v>
      </c>
      <c r="P76" s="144">
        <f ca="1">O63*0.06-P64</f>
        <v>0</v>
      </c>
      <c r="Q76" s="127"/>
      <c r="R76" s="127"/>
      <c r="S76" s="131"/>
    </row>
    <row r="77" spans="10:27" x14ac:dyDescent="0.4">
      <c r="M77" s="143"/>
      <c r="N77" s="137" t="s">
        <v>245</v>
      </c>
      <c r="O77" s="127" t="s">
        <v>242</v>
      </c>
      <c r="P77" s="144">
        <f ca="1">O65*0.06-P66</f>
        <v>0</v>
      </c>
      <c r="Q77" s="127"/>
      <c r="R77" s="127"/>
      <c r="S77" s="131"/>
    </row>
    <row r="78" spans="10:27" x14ac:dyDescent="0.4">
      <c r="M78" s="145"/>
      <c r="N78" s="128"/>
      <c r="O78" s="133" t="s">
        <v>246</v>
      </c>
      <c r="P78" s="146">
        <f ca="1">P76+P77</f>
        <v>0</v>
      </c>
      <c r="Q78" s="133"/>
      <c r="R78" s="133"/>
      <c r="S78" s="134"/>
    </row>
  </sheetData>
  <sheetProtection selectLockedCells="1"/>
  <mergeCells count="48">
    <mergeCell ref="C6:D6"/>
    <mergeCell ref="F11:H11"/>
    <mergeCell ref="A19:B19"/>
    <mergeCell ref="C19:D19"/>
    <mergeCell ref="E19:E20"/>
    <mergeCell ref="F19:F20"/>
    <mergeCell ref="E15:I15"/>
    <mergeCell ref="A17:B17"/>
    <mergeCell ref="C17:D17"/>
    <mergeCell ref="C8:D8"/>
    <mergeCell ref="C9:D9"/>
    <mergeCell ref="A15:B16"/>
    <mergeCell ref="C15:D16"/>
    <mergeCell ref="A11:D11"/>
    <mergeCell ref="E11:E12"/>
    <mergeCell ref="G30:H30"/>
    <mergeCell ref="G8:H8"/>
    <mergeCell ref="G9:H9"/>
    <mergeCell ref="G29:H29"/>
    <mergeCell ref="H19:H20"/>
    <mergeCell ref="E40:E41"/>
    <mergeCell ref="E8:F8"/>
    <mergeCell ref="A30:B30"/>
    <mergeCell ref="C30:D30"/>
    <mergeCell ref="E30:F30"/>
    <mergeCell ref="A8:B8"/>
    <mergeCell ref="A9:B9"/>
    <mergeCell ref="E9:F9"/>
    <mergeCell ref="C27:D27"/>
    <mergeCell ref="A29:B29"/>
    <mergeCell ref="C29:D29"/>
    <mergeCell ref="E29:F29"/>
    <mergeCell ref="K65:K66"/>
    <mergeCell ref="B53:B54"/>
    <mergeCell ref="I19:I20"/>
    <mergeCell ref="H40:H41"/>
    <mergeCell ref="I40:I41"/>
    <mergeCell ref="F40:F41"/>
    <mergeCell ref="A32:D32"/>
    <mergeCell ref="E32:E33"/>
    <mergeCell ref="F32:H32"/>
    <mergeCell ref="A36:B37"/>
    <mergeCell ref="C36:D37"/>
    <mergeCell ref="E36:I36"/>
    <mergeCell ref="A38:B38"/>
    <mergeCell ref="C38:D38"/>
    <mergeCell ref="A40:B40"/>
    <mergeCell ref="C40:D40"/>
  </mergeCells>
  <phoneticPr fontId="3"/>
  <conditionalFormatting sqref="G9:H9">
    <cfRule type="expression" dxfId="7" priority="2">
      <formula>OR($E$9="無",E9="")</formula>
    </cfRule>
  </conditionalFormatting>
  <conditionalFormatting sqref="G30:H30">
    <cfRule type="expression" dxfId="6" priority="1">
      <formula>OR($E$30="無",E30="")</formula>
    </cfRule>
  </conditionalFormatting>
  <dataValidations count="7">
    <dataValidation type="list" allowBlank="1" showInputMessage="1" showErrorMessage="1" sqref="E9:F9 E30:F30" xr:uid="{00000000-0002-0000-0000-000000000000}">
      <formula1>"無,有,老人"</formula1>
    </dataValidation>
    <dataValidation type="list" allowBlank="1" showInputMessage="1" showErrorMessage="1" sqref="C6 C27" xr:uid="{00000000-0002-0000-0000-000001000000}">
      <formula1>"政令指定都市,政令指定都市以外"</formula1>
    </dataValidation>
    <dataValidation type="list" allowBlank="1" showInputMessage="1" showErrorMessage="1" sqref="A21 A42:F42 C21:D21" xr:uid="{00000000-0002-0000-0000-000002000000}">
      <formula1>",○"</formula1>
    </dataValidation>
    <dataValidation type="list" allowBlank="1" showInputMessage="1" showErrorMessage="1" sqref="E21:F21 B21" xr:uid="{00000000-0002-0000-0000-000003000000}">
      <formula1>"○"</formula1>
    </dataValidation>
    <dataValidation type="list" allowBlank="1" showInputMessage="1" showErrorMessage="1" sqref="E49" xr:uid="{00000000-0002-0000-0000-000004000000}">
      <formula1>"1,2,3"</formula1>
    </dataValidation>
    <dataValidation type="list" allowBlank="1" showInputMessage="1" showErrorMessage="1" sqref="G59" xr:uid="{462327F9-273F-4A67-A061-6047C2CC3F60}">
      <formula1>"〇,×"</formula1>
    </dataValidation>
    <dataValidation type="list" allowBlank="1" showInputMessage="1" showErrorMessage="1" sqref="E50" xr:uid="{76280BBD-F2C2-4E36-9D08-F6C00A632EC0}">
      <formula1>"〇"</formula1>
    </dataValidation>
  </dataValidations>
  <pageMargins left="0.7" right="0.7" top="0.75" bottom="0.75" header="0.3" footer="0.3"/>
  <pageSetup paperSize="8" orientation="portrait" r:id="rId1"/>
  <ignoredErrors>
    <ignoredError sqref="I21" unlockedFormula="1"/>
    <ignoredError sqref="M39:N39 F23:F24 M41:N41 M44:N44 N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8"/>
  <sheetViews>
    <sheetView showGridLines="0" zoomScale="90" zoomScaleNormal="90" workbookViewId="0"/>
  </sheetViews>
  <sheetFormatPr defaultRowHeight="16.5" outlineLevelRow="1" outlineLevelCol="1" x14ac:dyDescent="0.4"/>
  <cols>
    <col min="1" max="8" width="10.625" style="3" customWidth="1"/>
    <col min="9" max="9" width="15.625" style="92" customWidth="1"/>
    <col min="10" max="11" width="9" style="62"/>
    <col min="12" max="12" width="9" style="61" customWidth="1"/>
    <col min="13" max="13" width="12.125" style="63" customWidth="1"/>
    <col min="14" max="14" width="11.125" style="63" customWidth="1"/>
    <col min="15" max="15" width="13.75" style="61" customWidth="1"/>
    <col min="16" max="16" width="12.25" style="61" customWidth="1"/>
    <col min="17" max="17" width="22.25" style="61" customWidth="1"/>
    <col min="18" max="18" width="23.5" style="61" customWidth="1"/>
    <col min="19" max="19" width="9" style="62" customWidth="1"/>
    <col min="20" max="20" width="9" style="92" customWidth="1"/>
    <col min="21" max="21" width="9" style="1" hidden="1" customWidth="1" outlineLevel="1"/>
    <col min="22" max="22" width="9" style="3" collapsed="1"/>
    <col min="23" max="16384" width="9" style="3"/>
  </cols>
  <sheetData>
    <row r="1" spans="1:21" x14ac:dyDescent="0.4">
      <c r="A1" s="69" t="s">
        <v>78</v>
      </c>
      <c r="B1" s="69"/>
      <c r="C1" s="69"/>
      <c r="D1" s="69"/>
      <c r="E1" s="69"/>
      <c r="F1" s="69"/>
      <c r="G1" s="69"/>
      <c r="H1" s="69"/>
      <c r="I1" s="97"/>
    </row>
    <row r="2" spans="1:21" x14ac:dyDescent="0.4">
      <c r="A2" s="69" t="s">
        <v>84</v>
      </c>
      <c r="B2" s="69"/>
      <c r="C2" s="69"/>
      <c r="D2" s="69"/>
      <c r="E2" s="69"/>
      <c r="F2" s="69"/>
      <c r="G2" s="69"/>
      <c r="H2" s="69"/>
      <c r="I2" s="97"/>
      <c r="K2" s="103"/>
      <c r="L2" s="104"/>
      <c r="M2" s="105"/>
      <c r="N2" s="105"/>
      <c r="O2" s="104"/>
      <c r="P2" s="104"/>
      <c r="Q2" s="104"/>
      <c r="R2" s="104"/>
      <c r="S2" s="103"/>
      <c r="T2" s="93"/>
    </row>
    <row r="3" spans="1:21" x14ac:dyDescent="0.4">
      <c r="A3" s="69" t="s">
        <v>200</v>
      </c>
      <c r="B3" s="69"/>
      <c r="C3" s="69"/>
      <c r="D3" s="69"/>
      <c r="E3" s="69"/>
      <c r="F3" s="69"/>
      <c r="G3" s="69"/>
      <c r="H3" s="69"/>
      <c r="I3" s="97"/>
      <c r="K3" s="103"/>
      <c r="L3" s="104"/>
      <c r="M3" s="105"/>
      <c r="N3" s="105"/>
      <c r="O3" s="104"/>
      <c r="P3" s="104"/>
      <c r="Q3" s="104"/>
      <c r="R3" s="104"/>
      <c r="S3" s="103"/>
      <c r="T3" s="93"/>
    </row>
    <row r="4" spans="1:21" x14ac:dyDescent="0.4">
      <c r="A4" s="69" t="s">
        <v>204</v>
      </c>
      <c r="B4" s="69"/>
      <c r="C4" s="69"/>
      <c r="D4" s="69"/>
      <c r="E4" s="69"/>
      <c r="F4" s="69"/>
      <c r="G4" s="69"/>
      <c r="H4" s="69"/>
      <c r="I4" s="98"/>
      <c r="K4" s="103"/>
      <c r="L4" s="104"/>
      <c r="M4" s="105"/>
      <c r="N4" s="105"/>
      <c r="O4" s="104"/>
      <c r="P4" s="104"/>
      <c r="Q4" s="104"/>
      <c r="R4" s="104"/>
      <c r="S4" s="103"/>
      <c r="T4" s="93"/>
    </row>
    <row r="5" spans="1:21" x14ac:dyDescent="0.4">
      <c r="A5" s="69"/>
      <c r="B5" s="69"/>
      <c r="C5" s="69"/>
      <c r="D5" s="69"/>
      <c r="E5" s="69"/>
      <c r="F5" s="69"/>
      <c r="G5" s="69"/>
      <c r="H5" s="69"/>
      <c r="I5" s="98"/>
      <c r="K5" s="103"/>
      <c r="L5" s="104"/>
      <c r="M5" s="105"/>
      <c r="N5" s="105"/>
      <c r="O5" s="104"/>
      <c r="P5" s="104"/>
      <c r="Q5" s="104"/>
      <c r="R5" s="104"/>
      <c r="S5" s="103"/>
      <c r="T5" s="93"/>
    </row>
    <row r="6" spans="1:21" x14ac:dyDescent="0.4">
      <c r="A6" s="70" t="s">
        <v>3</v>
      </c>
      <c r="B6" s="71" t="s">
        <v>40</v>
      </c>
      <c r="C6" s="159" t="s">
        <v>248</v>
      </c>
      <c r="D6" s="159"/>
      <c r="E6" s="69"/>
      <c r="F6" s="69"/>
      <c r="G6" s="69"/>
      <c r="H6" s="69"/>
      <c r="I6" s="98"/>
      <c r="K6" s="103"/>
      <c r="L6" s="104"/>
      <c r="M6" s="105"/>
      <c r="N6" s="105"/>
      <c r="O6" s="104" t="s">
        <v>247</v>
      </c>
      <c r="P6" s="104"/>
      <c r="Q6" s="104"/>
      <c r="R6" s="104"/>
      <c r="S6" s="104"/>
      <c r="T6" s="93"/>
    </row>
    <row r="7" spans="1:21" x14ac:dyDescent="0.4">
      <c r="A7" s="69" t="s">
        <v>36</v>
      </c>
      <c r="B7" s="69"/>
      <c r="C7" s="69"/>
      <c r="D7" s="69"/>
      <c r="E7" s="69"/>
      <c r="F7" s="69"/>
      <c r="G7" s="69"/>
      <c r="H7" s="69"/>
      <c r="I7" s="98"/>
      <c r="K7" s="103"/>
      <c r="L7" s="104"/>
      <c r="M7" s="105" t="s">
        <v>0</v>
      </c>
      <c r="N7" s="105" t="s">
        <v>62</v>
      </c>
      <c r="O7" s="104" t="s">
        <v>69</v>
      </c>
      <c r="P7" s="104">
        <v>380000</v>
      </c>
      <c r="Q7" s="104">
        <v>260000</v>
      </c>
      <c r="R7" s="104">
        <v>130000</v>
      </c>
      <c r="S7" s="104">
        <v>0</v>
      </c>
      <c r="T7" s="93"/>
    </row>
    <row r="8" spans="1:21" s="4" customFormat="1" x14ac:dyDescent="0.4">
      <c r="A8" s="151" t="s">
        <v>37</v>
      </c>
      <c r="B8" s="151"/>
      <c r="C8" s="151" t="s">
        <v>38</v>
      </c>
      <c r="D8" s="151"/>
      <c r="E8" s="157" t="s">
        <v>183</v>
      </c>
      <c r="F8" s="158"/>
      <c r="G8" s="157" t="s">
        <v>28</v>
      </c>
      <c r="H8" s="158"/>
      <c r="I8" s="6"/>
      <c r="J8" s="61"/>
      <c r="K8" s="104"/>
      <c r="L8" s="104" t="s">
        <v>4</v>
      </c>
      <c r="M8" s="105">
        <f>A9</f>
        <v>4800000</v>
      </c>
      <c r="N8" s="105">
        <f>A30</f>
        <v>2400000</v>
      </c>
      <c r="O8" s="104" t="s">
        <v>58</v>
      </c>
      <c r="P8" s="104" t="s">
        <v>59</v>
      </c>
      <c r="Q8" s="104" t="s">
        <v>60</v>
      </c>
      <c r="R8" s="104" t="s">
        <v>61</v>
      </c>
      <c r="S8" s="104"/>
      <c r="T8" s="94"/>
      <c r="U8" s="2"/>
    </row>
    <row r="9" spans="1:21" s="4" customFormat="1" x14ac:dyDescent="0.4">
      <c r="A9" s="152">
        <v>4800000</v>
      </c>
      <c r="B9" s="152"/>
      <c r="C9" s="152">
        <f>IF(A9="","",IF(A9&lt;551000,0,IF(A9&lt;1619000,A9-550000,IF(A9&lt;1620000,1069000,IF(A9&lt;1622000,1070000,IF(A9&lt;1624000,1072000,IF(A9&lt;1628000,1074000,IF(A9&lt;1800000,ROUNDDOWN(A9/4,-3)*4*0.6+100000,IF(A9&lt;3600000,ROUNDDOWN(A9/4,-3)*4*0.7-80000,IF(A9&lt;6600000,ROUNDDOWN(A9/4,-3)*4*0.8-440000,IF(A9&lt;8500000,A9*0.9-1100000,IF(A9&lt;10000001,A9-1950000-((A9-8500000)*0.1),A9-2100000))))))))))))</f>
        <v>3400000</v>
      </c>
      <c r="D9" s="152"/>
      <c r="E9" s="157"/>
      <c r="F9" s="158"/>
      <c r="G9" s="160"/>
      <c r="H9" s="161"/>
      <c r="I9" s="7">
        <f>IF(OR(E9="",E9="無"),4,IF(C9&lt;=9000000,1,IF(C9&lt;=9500000,2,IF(C9&lt;=10000000,3,4))))</f>
        <v>4</v>
      </c>
      <c r="J9" s="61">
        <f>IF(E9="老人",-1,IF(G9&lt;=850000,1,IF(G9&lt;=1000000,2,IF(G9&lt;=1050000,3,IF(G9&lt;=1100000,4,IF(G9&lt;=1150000,5,IF(G9&lt;=1200000,6,IF(G9&lt;=1250000,7,IF(G9&lt;=1300000,8,IF(G9&lt;=1330000,9,10))))))))))</f>
        <v>1</v>
      </c>
      <c r="K9" s="104"/>
      <c r="L9" s="104" t="s">
        <v>2</v>
      </c>
      <c r="M9" s="105">
        <f>C9</f>
        <v>3400000</v>
      </c>
      <c r="N9" s="105">
        <f>C30</f>
        <v>1600000</v>
      </c>
      <c r="O9" s="104" t="s">
        <v>205</v>
      </c>
      <c r="P9" s="104">
        <v>330000</v>
      </c>
      <c r="Q9" s="104">
        <v>220000</v>
      </c>
      <c r="R9" s="104">
        <v>110000</v>
      </c>
      <c r="S9" s="104">
        <v>0</v>
      </c>
      <c r="T9" s="94"/>
      <c r="U9" s="2"/>
    </row>
    <row r="10" spans="1:21" x14ac:dyDescent="0.4">
      <c r="A10" s="69" t="s">
        <v>33</v>
      </c>
      <c r="B10" s="69"/>
      <c r="C10" s="69"/>
      <c r="D10" s="69"/>
      <c r="E10" s="69"/>
      <c r="F10" s="69"/>
      <c r="G10" s="69"/>
      <c r="H10" s="69"/>
      <c r="I10" s="7">
        <f>IF(OR(E9="",E9="無"),4,IF(C9&lt;=9000000,1,IF(C9&lt;=9500000,2,IF(C9&lt;=10000000,3,4))))</f>
        <v>4</v>
      </c>
      <c r="J10" s="61">
        <f>IF(E9="老人",-1,IF(G9&lt;400000,1,IF(G9&lt;450000,2,3)))</f>
        <v>1</v>
      </c>
      <c r="K10" s="103"/>
      <c r="L10" s="104"/>
      <c r="M10" s="105"/>
      <c r="N10" s="105"/>
      <c r="O10" s="104" t="s">
        <v>63</v>
      </c>
      <c r="P10" s="104">
        <v>330000</v>
      </c>
      <c r="Q10" s="104">
        <v>220000</v>
      </c>
      <c r="R10" s="104">
        <v>110000</v>
      </c>
      <c r="S10" s="104">
        <v>0</v>
      </c>
      <c r="T10" s="93"/>
    </row>
    <row r="11" spans="1:21" s="4" customFormat="1" ht="16.5" customHeight="1" x14ac:dyDescent="0.4">
      <c r="A11" s="151" t="s">
        <v>16</v>
      </c>
      <c r="B11" s="151"/>
      <c r="C11" s="151"/>
      <c r="D11" s="151"/>
      <c r="E11" s="153" t="s">
        <v>32</v>
      </c>
      <c r="F11" s="151" t="s">
        <v>203</v>
      </c>
      <c r="G11" s="151"/>
      <c r="H11" s="151"/>
      <c r="I11" s="6"/>
      <c r="J11" s="61"/>
      <c r="K11" s="104"/>
      <c r="L11" s="104" t="s">
        <v>43</v>
      </c>
      <c r="M11" s="105">
        <f ca="1">SUM(M12,M13,M19,M20,M21,M28,M29)</f>
        <v>1353000</v>
      </c>
      <c r="N11" s="105">
        <f ca="1">SUM(N12,N13,N19,N20,N21,N28,N29)</f>
        <v>430000</v>
      </c>
      <c r="O11" s="104" t="s">
        <v>64</v>
      </c>
      <c r="P11" s="104">
        <v>310000</v>
      </c>
      <c r="Q11" s="104">
        <v>210000</v>
      </c>
      <c r="R11" s="104">
        <v>110000</v>
      </c>
      <c r="S11" s="104">
        <v>0</v>
      </c>
      <c r="T11" s="94"/>
      <c r="U11" s="2"/>
    </row>
    <row r="12" spans="1:21" s="4" customFormat="1" x14ac:dyDescent="0.4">
      <c r="A12" s="111" t="s">
        <v>7</v>
      </c>
      <c r="B12" s="111" t="s">
        <v>213</v>
      </c>
      <c r="C12" s="111" t="s">
        <v>8</v>
      </c>
      <c r="D12" s="111" t="s">
        <v>9</v>
      </c>
      <c r="E12" s="151"/>
      <c r="F12" s="111" t="s">
        <v>18</v>
      </c>
      <c r="G12" s="111" t="s">
        <v>19</v>
      </c>
      <c r="H12" s="111" t="s">
        <v>9</v>
      </c>
      <c r="I12" s="6"/>
      <c r="J12" s="61"/>
      <c r="K12" s="104"/>
      <c r="L12" s="104" t="s">
        <v>44</v>
      </c>
      <c r="M12" s="105">
        <f>A17</f>
        <v>560000</v>
      </c>
      <c r="N12" s="105">
        <f>A38</f>
        <v>0</v>
      </c>
      <c r="O12" s="104" t="s">
        <v>65</v>
      </c>
      <c r="P12" s="104">
        <v>260000</v>
      </c>
      <c r="Q12" s="104">
        <v>180000</v>
      </c>
      <c r="R12" s="104">
        <v>90000</v>
      </c>
      <c r="S12" s="104">
        <v>0</v>
      </c>
      <c r="T12" s="94"/>
      <c r="U12" s="2"/>
    </row>
    <row r="13" spans="1:21" s="4" customFormat="1" x14ac:dyDescent="0.4">
      <c r="A13" s="111"/>
      <c r="B13" s="111"/>
      <c r="C13" s="111"/>
      <c r="D13" s="111">
        <v>1</v>
      </c>
      <c r="E13" s="111">
        <v>1</v>
      </c>
      <c r="F13" s="111"/>
      <c r="G13" s="111"/>
      <c r="H13" s="111"/>
      <c r="I13" s="6"/>
      <c r="J13" s="61"/>
      <c r="K13" s="104"/>
      <c r="L13" s="104" t="s">
        <v>45</v>
      </c>
      <c r="M13" s="105">
        <f>MIN(70000,MAX(MIN(M14+M15,28000),M15)+M16+MAX(MIN(M17+M18,28000),M18))</f>
        <v>27000</v>
      </c>
      <c r="N13" s="105">
        <f>MIN(70000,MAX(MIN(N14+N15,28000),N15)+N16+MAX(MIN(N17+N18,28000),N18))</f>
        <v>0</v>
      </c>
      <c r="O13" s="104" t="s">
        <v>66</v>
      </c>
      <c r="P13" s="104">
        <v>210000</v>
      </c>
      <c r="Q13" s="104">
        <v>140000</v>
      </c>
      <c r="R13" s="104">
        <v>70000</v>
      </c>
      <c r="S13" s="104">
        <v>0</v>
      </c>
      <c r="T13" s="94"/>
      <c r="U13" s="2"/>
    </row>
    <row r="14" spans="1:21" x14ac:dyDescent="0.4">
      <c r="A14" s="69" t="s">
        <v>35</v>
      </c>
      <c r="B14" s="69"/>
      <c r="C14" s="69"/>
      <c r="D14" s="69"/>
      <c r="E14" s="69"/>
      <c r="F14" s="69"/>
      <c r="G14" s="69"/>
      <c r="H14" s="69"/>
      <c r="I14" s="98"/>
      <c r="K14" s="103"/>
      <c r="L14" s="104" t="s">
        <v>47</v>
      </c>
      <c r="M14" s="105">
        <f>IF(E17&lt;=12000,E17,IF(E17&lt;=32000,E17/2+6000,IF(E17&lt;=56000,E17/4+14000,28000)))</f>
        <v>12000</v>
      </c>
      <c r="N14" s="105">
        <f>IF(E38&lt;=12000,E38,IF(E38&lt;=32000,E38/2+6000,IF(E38&lt;=56000,E38/4+14000,28000)))</f>
        <v>0</v>
      </c>
      <c r="O14" s="104" t="s">
        <v>67</v>
      </c>
      <c r="P14" s="104">
        <v>160000</v>
      </c>
      <c r="Q14" s="104">
        <v>110000</v>
      </c>
      <c r="R14" s="104">
        <v>60000</v>
      </c>
      <c r="S14" s="104">
        <v>0</v>
      </c>
      <c r="T14" s="93"/>
    </row>
    <row r="15" spans="1:21" s="4" customFormat="1" ht="22.5" customHeight="1" x14ac:dyDescent="0.4">
      <c r="A15" s="153" t="s">
        <v>85</v>
      </c>
      <c r="B15" s="151"/>
      <c r="C15" s="151" t="s">
        <v>21</v>
      </c>
      <c r="D15" s="151"/>
      <c r="E15" s="151" t="s">
        <v>22</v>
      </c>
      <c r="F15" s="151"/>
      <c r="G15" s="151"/>
      <c r="H15" s="151"/>
      <c r="I15" s="151"/>
      <c r="J15" s="61"/>
      <c r="K15" s="104"/>
      <c r="L15" s="104" t="s">
        <v>48</v>
      </c>
      <c r="M15" s="105">
        <f>IF(F17&lt;=15000,F17,IF(F17&lt;=40000,F17/2+7500,IF(F17&lt;=70000,F17/4+17500,35000)))</f>
        <v>0</v>
      </c>
      <c r="N15" s="105">
        <f>IF(F38&lt;=15000,F38,IF(F38&lt;=40000,F38/2+7500,IF(F38&lt;=70000,F38/4+17500,35000)))</f>
        <v>0</v>
      </c>
      <c r="O15" s="104" t="s">
        <v>68</v>
      </c>
      <c r="P15" s="104">
        <v>110000</v>
      </c>
      <c r="Q15" s="104">
        <v>80000</v>
      </c>
      <c r="R15" s="104">
        <v>40000</v>
      </c>
      <c r="S15" s="104">
        <v>0</v>
      </c>
      <c r="T15" s="94"/>
      <c r="U15" s="2"/>
    </row>
    <row r="16" spans="1:21" s="4" customFormat="1" x14ac:dyDescent="0.4">
      <c r="A16" s="151"/>
      <c r="B16" s="151"/>
      <c r="C16" s="151"/>
      <c r="D16" s="151"/>
      <c r="E16" s="111" t="s">
        <v>23</v>
      </c>
      <c r="F16" s="111" t="s">
        <v>24</v>
      </c>
      <c r="G16" s="111" t="s">
        <v>25</v>
      </c>
      <c r="H16" s="111" t="s">
        <v>26</v>
      </c>
      <c r="I16" s="111" t="s">
        <v>27</v>
      </c>
      <c r="J16" s="61"/>
      <c r="K16" s="104"/>
      <c r="L16" s="104" t="s">
        <v>49</v>
      </c>
      <c r="M16" s="105">
        <f>IF(G17&lt;=12000,G17,IF(G17&lt;=32000,G17/2+6000,IF(G17&lt;=56000,G17/4+14000,28000)))</f>
        <v>10000</v>
      </c>
      <c r="N16" s="105">
        <f>IF(G38&lt;=12000,G38,IF(G38&lt;=32000,G38/2+6000,IF(G38&lt;=56000,G38/4+14000,28000)))</f>
        <v>0</v>
      </c>
      <c r="O16" s="104" t="s">
        <v>218</v>
      </c>
      <c r="P16" s="104">
        <v>60000</v>
      </c>
      <c r="Q16" s="104">
        <v>40000</v>
      </c>
      <c r="R16" s="104">
        <v>20000</v>
      </c>
      <c r="S16" s="104">
        <v>0</v>
      </c>
      <c r="T16" s="94"/>
      <c r="U16" s="2"/>
    </row>
    <row r="17" spans="1:21" s="4" customFormat="1" x14ac:dyDescent="0.4">
      <c r="A17" s="152">
        <v>560000</v>
      </c>
      <c r="B17" s="152"/>
      <c r="C17" s="152">
        <v>12000</v>
      </c>
      <c r="D17" s="152"/>
      <c r="E17" s="113">
        <v>12000</v>
      </c>
      <c r="F17" s="113"/>
      <c r="G17" s="113">
        <v>10000</v>
      </c>
      <c r="H17" s="113"/>
      <c r="I17" s="113">
        <v>5000</v>
      </c>
      <c r="J17" s="61"/>
      <c r="K17" s="104"/>
      <c r="L17" s="104" t="s">
        <v>50</v>
      </c>
      <c r="M17" s="105">
        <f>IF(H17&lt;=12000,H17,IF(H17&lt;=32000,H17/2+6000,IF(H17&lt;=56000,H17/4+14000,28000)))</f>
        <v>0</v>
      </c>
      <c r="N17" s="105">
        <f>IF(H38&lt;=12000,H38,IF(H38&lt;=32000,H38/2+6000,IF(H38&lt;=56000,H38/4+14000,28000)))</f>
        <v>0</v>
      </c>
      <c r="O17" s="104" t="s">
        <v>219</v>
      </c>
      <c r="P17" s="104">
        <v>30000</v>
      </c>
      <c r="Q17" s="104">
        <v>20000</v>
      </c>
      <c r="R17" s="104">
        <v>10000</v>
      </c>
      <c r="S17" s="104">
        <v>0</v>
      </c>
      <c r="T17" s="94"/>
      <c r="U17" s="2"/>
    </row>
    <row r="18" spans="1:21" x14ac:dyDescent="0.4">
      <c r="A18" s="69" t="s">
        <v>220</v>
      </c>
      <c r="B18" s="69"/>
      <c r="C18" s="69"/>
      <c r="D18" s="69"/>
      <c r="E18" s="69"/>
      <c r="F18" s="69"/>
      <c r="G18" s="69"/>
      <c r="H18" s="69" t="s">
        <v>79</v>
      </c>
      <c r="I18" s="97"/>
      <c r="K18" s="103"/>
      <c r="L18" s="104" t="s">
        <v>51</v>
      </c>
      <c r="M18" s="105">
        <f>IF(I17&lt;=15000,I17,IF(I17&lt;=40000,I17/2+7500,IF(I17&lt;=70000,I17/4+17500,35000)))</f>
        <v>5000</v>
      </c>
      <c r="N18" s="105">
        <f>IF(I38&lt;=15000,I38,IF(I38&lt;=40000,I38/2+7500,IF(I38&lt;=70000,I38/4+17500,35000)))</f>
        <v>0</v>
      </c>
      <c r="O18" s="104" t="s">
        <v>217</v>
      </c>
      <c r="P18" s="104">
        <v>0</v>
      </c>
      <c r="Q18" s="104">
        <v>0</v>
      </c>
      <c r="R18" s="104">
        <v>0</v>
      </c>
      <c r="S18" s="104">
        <v>0</v>
      </c>
      <c r="T18" s="93"/>
    </row>
    <row r="19" spans="1:21" s="4" customFormat="1" ht="16.5" customHeight="1" x14ac:dyDescent="0.4">
      <c r="A19" s="151" t="s">
        <v>29</v>
      </c>
      <c r="B19" s="151"/>
      <c r="C19" s="154" t="s">
        <v>210</v>
      </c>
      <c r="D19" s="155"/>
      <c r="E19" s="156" t="s">
        <v>223</v>
      </c>
      <c r="F19" s="151" t="s">
        <v>12</v>
      </c>
      <c r="G19" s="72"/>
      <c r="H19" s="151" t="s">
        <v>80</v>
      </c>
      <c r="I19" s="151" t="s">
        <v>201</v>
      </c>
      <c r="J19" s="61"/>
      <c r="K19" s="104"/>
      <c r="L19" s="104" t="s">
        <v>46</v>
      </c>
      <c r="M19" s="105">
        <f>ROUNDDOWN(IF(C17&lt;=50000,C17/2,25000),0)</f>
        <v>6000</v>
      </c>
      <c r="N19" s="105">
        <f>ROUNDDOWN(IF(C38&lt;=50000,C38/2,25000),0)</f>
        <v>0</v>
      </c>
      <c r="O19" s="104"/>
      <c r="P19" s="104"/>
      <c r="Q19" s="104"/>
      <c r="R19" s="104"/>
      <c r="S19" s="104"/>
      <c r="T19" s="94"/>
      <c r="U19" s="2"/>
    </row>
    <row r="20" spans="1:21" s="4" customFormat="1" x14ac:dyDescent="0.4">
      <c r="A20" s="111" t="s">
        <v>18</v>
      </c>
      <c r="B20" s="111" t="s">
        <v>9</v>
      </c>
      <c r="C20" s="73" t="s">
        <v>211</v>
      </c>
      <c r="D20" s="112" t="s">
        <v>212</v>
      </c>
      <c r="E20" s="156"/>
      <c r="F20" s="151"/>
      <c r="G20" s="72"/>
      <c r="H20" s="151"/>
      <c r="I20" s="151"/>
      <c r="J20" s="61"/>
      <c r="K20" s="104"/>
      <c r="L20" s="104" t="s">
        <v>53</v>
      </c>
      <c r="M20" s="105">
        <f ca="1">OFFSET(O8,J9,I9,1,1)</f>
        <v>0</v>
      </c>
      <c r="N20" s="105">
        <f ca="1">OFFSET(O8,J30,I30,1,1)</f>
        <v>0</v>
      </c>
      <c r="O20" s="104"/>
      <c r="P20" s="104"/>
      <c r="Q20" s="104"/>
      <c r="R20" s="104"/>
      <c r="S20" s="104"/>
      <c r="T20" s="94"/>
      <c r="U20" s="2"/>
    </row>
    <row r="21" spans="1:21" s="4" customFormat="1" x14ac:dyDescent="0.4">
      <c r="A21" s="111"/>
      <c r="B21" s="111"/>
      <c r="C21" s="114"/>
      <c r="D21" s="114"/>
      <c r="E21" s="111"/>
      <c r="F21" s="111"/>
      <c r="G21" s="72"/>
      <c r="H21" s="113">
        <f ca="1">M11</f>
        <v>1353000</v>
      </c>
      <c r="I21" s="113">
        <f ca="1">M38</f>
        <v>2047000</v>
      </c>
      <c r="J21" s="61"/>
      <c r="K21" s="104"/>
      <c r="L21" s="104" t="s">
        <v>52</v>
      </c>
      <c r="M21" s="105">
        <f>SUM(M22:M28)</f>
        <v>330000</v>
      </c>
      <c r="N21" s="105">
        <f>SUM(N22:N25)</f>
        <v>0</v>
      </c>
      <c r="O21" s="104" t="s">
        <v>69</v>
      </c>
      <c r="P21" s="104">
        <v>100000</v>
      </c>
      <c r="Q21" s="104">
        <v>60000</v>
      </c>
      <c r="R21" s="104">
        <v>30000</v>
      </c>
      <c r="S21" s="104">
        <v>0</v>
      </c>
      <c r="T21" s="94"/>
      <c r="U21" s="2"/>
    </row>
    <row r="22" spans="1:21" x14ac:dyDescent="0.4">
      <c r="A22" s="69"/>
      <c r="B22" s="69"/>
      <c r="C22" s="69"/>
      <c r="D22" s="69"/>
      <c r="E22" s="69"/>
      <c r="F22" s="69"/>
      <c r="G22" s="69"/>
      <c r="H22" s="69" t="s">
        <v>81</v>
      </c>
      <c r="I22" s="97"/>
      <c r="K22" s="103"/>
      <c r="L22" s="104" t="s">
        <v>7</v>
      </c>
      <c r="M22" s="105">
        <f>A13*450000</f>
        <v>0</v>
      </c>
      <c r="N22" s="105">
        <f>A34*450000</f>
        <v>0</v>
      </c>
      <c r="O22" s="104" t="s">
        <v>58</v>
      </c>
      <c r="P22" s="104" t="s">
        <v>59</v>
      </c>
      <c r="Q22" s="104" t="s">
        <v>60</v>
      </c>
      <c r="R22" s="104" t="s">
        <v>61</v>
      </c>
      <c r="S22" s="104"/>
      <c r="T22" s="93"/>
    </row>
    <row r="23" spans="1:21" x14ac:dyDescent="0.4">
      <c r="A23" s="100"/>
      <c r="B23" s="101"/>
      <c r="C23" s="69"/>
      <c r="D23" s="76" t="s">
        <v>39</v>
      </c>
      <c r="E23" s="76"/>
      <c r="F23" s="75">
        <f ca="1">I21</f>
        <v>2047000</v>
      </c>
      <c r="G23" s="69"/>
      <c r="H23" s="69" t="s">
        <v>82</v>
      </c>
      <c r="I23" s="97"/>
      <c r="K23" s="103"/>
      <c r="L23" s="104" t="s">
        <v>213</v>
      </c>
      <c r="M23" s="105">
        <f>B13*450000</f>
        <v>0</v>
      </c>
      <c r="N23" s="105">
        <f>B34*450000</f>
        <v>0</v>
      </c>
      <c r="O23" s="104" t="s">
        <v>205</v>
      </c>
      <c r="P23" s="104">
        <v>50000</v>
      </c>
      <c r="Q23" s="104">
        <v>40000</v>
      </c>
      <c r="R23" s="104">
        <v>20000</v>
      </c>
      <c r="S23" s="104">
        <v>0</v>
      </c>
      <c r="T23" s="93"/>
    </row>
    <row r="24" spans="1:21" x14ac:dyDescent="0.4">
      <c r="A24" s="69"/>
      <c r="B24" s="69"/>
      <c r="C24" s="69"/>
      <c r="D24" s="77" t="s">
        <v>41</v>
      </c>
      <c r="E24" s="77"/>
      <c r="F24" s="78">
        <f ca="1">M45</f>
        <v>1590</v>
      </c>
      <c r="G24" s="69"/>
      <c r="H24" s="69" t="s">
        <v>83</v>
      </c>
      <c r="I24" s="97"/>
      <c r="K24" s="103"/>
      <c r="L24" s="104" t="s">
        <v>8</v>
      </c>
      <c r="M24" s="105">
        <f>C13*380000</f>
        <v>0</v>
      </c>
      <c r="N24" s="105">
        <f>C34*380000</f>
        <v>0</v>
      </c>
      <c r="O24" s="104" t="s">
        <v>206</v>
      </c>
      <c r="P24" s="104">
        <v>30000</v>
      </c>
      <c r="Q24" s="104">
        <v>20000</v>
      </c>
      <c r="R24" s="104">
        <v>10000</v>
      </c>
      <c r="S24" s="104">
        <v>0</v>
      </c>
      <c r="T24" s="93"/>
    </row>
    <row r="25" spans="1:21" x14ac:dyDescent="0.4">
      <c r="A25" s="69"/>
      <c r="B25" s="69"/>
      <c r="C25" s="69"/>
      <c r="D25" s="69"/>
      <c r="E25" s="69"/>
      <c r="F25" s="69" t="s">
        <v>221</v>
      </c>
      <c r="G25" s="69"/>
      <c r="H25" s="69"/>
      <c r="I25" s="97"/>
      <c r="K25" s="103"/>
      <c r="L25" s="104" t="s">
        <v>9</v>
      </c>
      <c r="M25" s="105">
        <f>D13*330000</f>
        <v>330000</v>
      </c>
      <c r="N25" s="105">
        <f>D34*330000</f>
        <v>0</v>
      </c>
      <c r="O25" s="104" t="s">
        <v>207</v>
      </c>
      <c r="P25" s="104">
        <v>0</v>
      </c>
      <c r="Q25" s="104">
        <v>0</v>
      </c>
      <c r="R25" s="104">
        <v>0</v>
      </c>
      <c r="S25" s="104">
        <v>0</v>
      </c>
      <c r="T25" s="93"/>
    </row>
    <row r="26" spans="1:21" x14ac:dyDescent="0.4">
      <c r="A26" s="69"/>
      <c r="B26" s="69"/>
      <c r="C26" s="69"/>
      <c r="D26" s="69"/>
      <c r="E26" s="69"/>
      <c r="F26" s="69" t="s">
        <v>222</v>
      </c>
      <c r="G26" s="69"/>
      <c r="H26" s="69"/>
      <c r="I26" s="97"/>
      <c r="K26" s="103"/>
      <c r="L26" s="104" t="s">
        <v>214</v>
      </c>
      <c r="M26" s="105">
        <f>F13*300000</f>
        <v>0</v>
      </c>
      <c r="N26" s="105">
        <f>F34*300000</f>
        <v>0</v>
      </c>
      <c r="O26" s="104"/>
      <c r="P26" s="104"/>
      <c r="Q26" s="104"/>
      <c r="R26" s="104"/>
      <c r="S26" s="104"/>
      <c r="T26" s="93"/>
    </row>
    <row r="27" spans="1:21" x14ac:dyDescent="0.4">
      <c r="A27" s="70" t="s">
        <v>13</v>
      </c>
      <c r="B27" s="71" t="s">
        <v>40</v>
      </c>
      <c r="C27" s="159" t="s">
        <v>248</v>
      </c>
      <c r="D27" s="159"/>
      <c r="E27" s="69"/>
      <c r="F27" s="69"/>
      <c r="G27" s="69"/>
      <c r="H27" s="69"/>
      <c r="I27" s="97"/>
      <c r="K27" s="103"/>
      <c r="L27" s="104" t="s">
        <v>215</v>
      </c>
      <c r="M27" s="105">
        <f>H13*260000</f>
        <v>0</v>
      </c>
      <c r="N27" s="105">
        <f>H34*260000</f>
        <v>0</v>
      </c>
      <c r="O27" s="104"/>
      <c r="P27" s="104"/>
      <c r="Q27" s="104"/>
      <c r="R27" s="104"/>
      <c r="S27" s="104"/>
      <c r="T27" s="93"/>
    </row>
    <row r="28" spans="1:21" outlineLevel="1" x14ac:dyDescent="0.4">
      <c r="A28" s="69" t="s">
        <v>36</v>
      </c>
      <c r="B28" s="69"/>
      <c r="C28" s="69"/>
      <c r="D28" s="69"/>
      <c r="E28" s="69"/>
      <c r="F28" s="69"/>
      <c r="G28" s="69"/>
      <c r="H28" s="69"/>
      <c r="I28" s="98"/>
      <c r="K28" s="103"/>
      <c r="L28" s="104" t="s">
        <v>216</v>
      </c>
      <c r="M28" s="105">
        <f>G13*530000</f>
        <v>0</v>
      </c>
      <c r="N28" s="105">
        <f>G34*530000</f>
        <v>0</v>
      </c>
      <c r="O28" s="104"/>
      <c r="P28" s="104"/>
      <c r="Q28" s="104"/>
      <c r="R28" s="104"/>
      <c r="S28" s="104"/>
      <c r="T28" s="93"/>
    </row>
    <row r="29" spans="1:21" outlineLevel="1" x14ac:dyDescent="0.4">
      <c r="A29" s="151" t="s">
        <v>37</v>
      </c>
      <c r="B29" s="151"/>
      <c r="C29" s="151" t="s">
        <v>38</v>
      </c>
      <c r="D29" s="151"/>
      <c r="E29" s="157" t="s">
        <v>183</v>
      </c>
      <c r="F29" s="158"/>
      <c r="G29" s="157" t="s">
        <v>28</v>
      </c>
      <c r="H29" s="158"/>
      <c r="I29" s="6"/>
      <c r="J29" s="61"/>
      <c r="K29" s="103"/>
      <c r="L29" s="104" t="s">
        <v>54</v>
      </c>
      <c r="M29" s="105">
        <f>SUM(M30:M36)</f>
        <v>430000</v>
      </c>
      <c r="N29" s="105">
        <f>SUM(N30:N36)</f>
        <v>430000</v>
      </c>
      <c r="O29" s="104"/>
      <c r="P29" s="104"/>
      <c r="Q29" s="104"/>
      <c r="R29" s="104"/>
      <c r="S29" s="104"/>
      <c r="T29" s="93"/>
    </row>
    <row r="30" spans="1:21" outlineLevel="1" x14ac:dyDescent="0.4">
      <c r="A30" s="152">
        <v>2400000</v>
      </c>
      <c r="B30" s="152"/>
      <c r="C30" s="152">
        <f>IF(A30="","",IF(A30&lt;551000,0,IF(A30&lt;1619000,A30-550000,IF(A30&lt;1620000,1069000,IF(A30&lt;1622000,1070000,IF(A30&lt;1624000,1072000,IF(A30&lt;1628000,1074000,IF(A30&lt;1800000,ROUNDDOWN(A30/4,-3)*4*0.6+100000,IF(A30&lt;3600000,ROUNDDOWN(A30/4,-3)*4*0.7-80000,IF(A30&lt;6600000,ROUNDDOWN(A30/4,-3)*4*0.8-440000,IF(A30&lt;8500000,A30*0.9-1100000,IF(A30&lt;10000001,A30-1950000-((A30-8500000)*0.1),A30-2100000))))))))))))</f>
        <v>1600000</v>
      </c>
      <c r="D30" s="152"/>
      <c r="E30" s="157" t="s">
        <v>249</v>
      </c>
      <c r="F30" s="158"/>
      <c r="G30" s="160"/>
      <c r="H30" s="161"/>
      <c r="I30" s="7">
        <f>IF(OR(E30="無",E30=""),4,IF(C30&lt;=9000000,1,IF(C30&lt;=9500000,2,IF(C30&lt;=10000000,3,4))))</f>
        <v>4</v>
      </c>
      <c r="J30" s="61">
        <f>IF(E30="老人",-1,IF(G30&lt;=850000,1,IF(G30&lt;=1000000,2,IF(G30&lt;=1050000,3,IF(G30&lt;=1100000,4,IF(G30&lt;=1150000,5,IF(G30&lt;=1200000,6,IF(G30&lt;=1250000,7,IF(G30&lt;=1300000,8,IF(G30&lt;=1330000,9,10))))))))))</f>
        <v>1</v>
      </c>
      <c r="K30" s="103"/>
      <c r="L30" s="104" t="s">
        <v>55</v>
      </c>
      <c r="M30" s="105">
        <f>IF(C9="","",IF(C9&lt;24000001,430000,IF(C9&lt;24500001,290000,IF(C9&lt;25000001,150000,0))))</f>
        <v>430000</v>
      </c>
      <c r="N30" s="105">
        <f>IF(C30="","",IF(C30&lt;24000001,430000,IF(C30&lt;24500001,290000,IF(C30&lt;25000001,150000,0))))</f>
        <v>430000</v>
      </c>
      <c r="O30" s="104"/>
      <c r="P30" s="104"/>
      <c r="Q30" s="104"/>
      <c r="R30" s="104"/>
      <c r="S30" s="104"/>
      <c r="T30" s="93"/>
    </row>
    <row r="31" spans="1:21" outlineLevel="1" x14ac:dyDescent="0.4">
      <c r="A31" s="69" t="s">
        <v>33</v>
      </c>
      <c r="B31" s="69"/>
      <c r="C31" s="69"/>
      <c r="D31" s="69"/>
      <c r="E31" s="69"/>
      <c r="F31" s="69"/>
      <c r="G31" s="69"/>
      <c r="H31" s="69"/>
      <c r="I31" s="7">
        <f>IF(OR(E30="無",E30=""),4,IF(C30&lt;=9000000,1,IF(C30&lt;=9500000,2,IF(C30&lt;=10000000,3,4))))</f>
        <v>4</v>
      </c>
      <c r="J31" s="61">
        <f>IF(E30="老人",-1,IF(G30&lt;400000,1,IF(G30&lt;450000,2,3)))</f>
        <v>1</v>
      </c>
      <c r="K31" s="103"/>
      <c r="L31" s="104" t="s">
        <v>10</v>
      </c>
      <c r="M31" s="105">
        <f>IF(B21="○",260000,0)</f>
        <v>0</v>
      </c>
      <c r="N31" s="105">
        <f>IF(B42="○",260000,0)</f>
        <v>0</v>
      </c>
      <c r="O31" s="104"/>
      <c r="P31" s="104"/>
      <c r="Q31" s="104"/>
      <c r="R31" s="104"/>
      <c r="S31" s="104"/>
      <c r="T31" s="93"/>
    </row>
    <row r="32" spans="1:21" ht="16.5" customHeight="1" outlineLevel="1" x14ac:dyDescent="0.4">
      <c r="A32" s="151" t="s">
        <v>16</v>
      </c>
      <c r="B32" s="151"/>
      <c r="C32" s="151"/>
      <c r="D32" s="151"/>
      <c r="E32" s="153" t="s">
        <v>32</v>
      </c>
      <c r="F32" s="151" t="s">
        <v>203</v>
      </c>
      <c r="G32" s="151"/>
      <c r="H32" s="151"/>
      <c r="I32" s="6"/>
      <c r="J32" s="61"/>
      <c r="K32" s="103"/>
      <c r="L32" s="104" t="s">
        <v>11</v>
      </c>
      <c r="M32" s="105">
        <f>IF(A21="○",300000,0)</f>
        <v>0</v>
      </c>
      <c r="N32" s="105">
        <f>IF(A42="○",300000,0)</f>
        <v>0</v>
      </c>
      <c r="O32" s="104"/>
      <c r="P32" s="104"/>
      <c r="Q32" s="104"/>
      <c r="R32" s="104"/>
      <c r="S32" s="103"/>
      <c r="T32" s="93"/>
    </row>
    <row r="33" spans="1:20" outlineLevel="1" x14ac:dyDescent="0.4">
      <c r="A33" s="111" t="s">
        <v>7</v>
      </c>
      <c r="B33" s="111" t="s">
        <v>17</v>
      </c>
      <c r="C33" s="111" t="s">
        <v>8</v>
      </c>
      <c r="D33" s="111" t="s">
        <v>9</v>
      </c>
      <c r="E33" s="151"/>
      <c r="F33" s="111" t="s">
        <v>18</v>
      </c>
      <c r="G33" s="111" t="s">
        <v>19</v>
      </c>
      <c r="H33" s="111" t="s">
        <v>9</v>
      </c>
      <c r="I33" s="6"/>
      <c r="J33" s="61"/>
      <c r="K33" s="103"/>
      <c r="L33" s="104" t="s">
        <v>208</v>
      </c>
      <c r="M33" s="105">
        <f>IF(C21="○",300000,0)</f>
        <v>0</v>
      </c>
      <c r="N33" s="105">
        <f>IF(C42="○",300000,0)</f>
        <v>0</v>
      </c>
      <c r="O33" s="104"/>
      <c r="P33" s="104"/>
      <c r="Q33" s="104"/>
      <c r="R33" s="104"/>
      <c r="S33" s="103"/>
      <c r="T33" s="93"/>
    </row>
    <row r="34" spans="1:20" outlineLevel="1" x14ac:dyDescent="0.4">
      <c r="A34" s="111"/>
      <c r="B34" s="111"/>
      <c r="C34" s="111"/>
      <c r="D34" s="111"/>
      <c r="E34" s="111">
        <v>1</v>
      </c>
      <c r="F34" s="111"/>
      <c r="G34" s="111"/>
      <c r="H34" s="111"/>
      <c r="I34" s="6"/>
      <c r="J34" s="61"/>
      <c r="K34" s="103"/>
      <c r="L34" s="104" t="s">
        <v>209</v>
      </c>
      <c r="M34" s="105">
        <f>IF(D21="○",300000,0)</f>
        <v>0</v>
      </c>
      <c r="N34" s="105">
        <f>IF(D42="○",300000,0)</f>
        <v>0</v>
      </c>
      <c r="O34" s="104"/>
      <c r="P34" s="104"/>
      <c r="Q34" s="104"/>
      <c r="R34" s="104"/>
      <c r="S34" s="103"/>
      <c r="T34" s="93"/>
    </row>
    <row r="35" spans="1:20" outlineLevel="1" x14ac:dyDescent="0.4">
      <c r="A35" s="69" t="s">
        <v>35</v>
      </c>
      <c r="B35" s="69"/>
      <c r="C35" s="69"/>
      <c r="D35" s="69"/>
      <c r="E35" s="69"/>
      <c r="F35" s="69"/>
      <c r="G35" s="69"/>
      <c r="H35" s="69"/>
      <c r="I35" s="98"/>
      <c r="K35" s="103"/>
      <c r="L35" s="104" t="s">
        <v>223</v>
      </c>
      <c r="M35" s="105">
        <f>IF(E21="○",260000,0)</f>
        <v>0</v>
      </c>
      <c r="N35" s="105">
        <f>IF(E42="○",260000,0)</f>
        <v>0</v>
      </c>
      <c r="O35" s="104"/>
      <c r="P35" s="104"/>
      <c r="Q35" s="104"/>
      <c r="R35" s="104"/>
      <c r="S35" s="103"/>
      <c r="T35" s="93"/>
    </row>
    <row r="36" spans="1:20" ht="16.5" customHeight="1" outlineLevel="1" x14ac:dyDescent="0.4">
      <c r="A36" s="153" t="s">
        <v>85</v>
      </c>
      <c r="B36" s="151"/>
      <c r="C36" s="151" t="s">
        <v>21</v>
      </c>
      <c r="D36" s="151"/>
      <c r="E36" s="151" t="s">
        <v>22</v>
      </c>
      <c r="F36" s="151"/>
      <c r="G36" s="151"/>
      <c r="H36" s="151"/>
      <c r="I36" s="151"/>
      <c r="J36" s="61"/>
      <c r="K36" s="103"/>
      <c r="L36" s="104" t="s">
        <v>12</v>
      </c>
      <c r="M36" s="105">
        <f>IF(F21="○",260000,0)</f>
        <v>0</v>
      </c>
      <c r="N36" s="105">
        <f>IF(F42="○",260000,0)</f>
        <v>0</v>
      </c>
      <c r="O36" s="104"/>
      <c r="P36" s="104"/>
      <c r="Q36" s="104"/>
      <c r="R36" s="104"/>
      <c r="S36" s="103"/>
      <c r="T36" s="93"/>
    </row>
    <row r="37" spans="1:20" outlineLevel="1" x14ac:dyDescent="0.4">
      <c r="A37" s="151"/>
      <c r="B37" s="151"/>
      <c r="C37" s="151"/>
      <c r="D37" s="151"/>
      <c r="E37" s="111" t="s">
        <v>23</v>
      </c>
      <c r="F37" s="111" t="s">
        <v>24</v>
      </c>
      <c r="G37" s="111" t="s">
        <v>25</v>
      </c>
      <c r="H37" s="111" t="s">
        <v>26</v>
      </c>
      <c r="I37" s="111" t="s">
        <v>27</v>
      </c>
      <c r="J37" s="61"/>
      <c r="K37" s="103"/>
      <c r="L37" s="104"/>
      <c r="M37" s="105"/>
      <c r="N37" s="105"/>
      <c r="O37" s="104"/>
      <c r="P37" s="104"/>
      <c r="Q37" s="104"/>
      <c r="R37" s="104"/>
      <c r="S37" s="103"/>
      <c r="T37" s="93"/>
    </row>
    <row r="38" spans="1:20" outlineLevel="1" x14ac:dyDescent="0.4">
      <c r="A38" s="152"/>
      <c r="B38" s="152"/>
      <c r="C38" s="152"/>
      <c r="D38" s="152"/>
      <c r="E38" s="113"/>
      <c r="F38" s="113"/>
      <c r="G38" s="113"/>
      <c r="H38" s="113"/>
      <c r="I38" s="113"/>
      <c r="J38" s="61"/>
      <c r="K38" s="103"/>
      <c r="L38" s="104" t="s">
        <v>1</v>
      </c>
      <c r="M38" s="105">
        <f ca="1">IF(A9="",0,ROUNDDOWN(MAX(M9-H21,0),-3))</f>
        <v>2047000</v>
      </c>
      <c r="N38" s="105">
        <f>IF(A30="",0,ROUNDDOWN(MAX(N9-H42,0),-3))</f>
        <v>920000</v>
      </c>
      <c r="O38" s="104"/>
      <c r="P38" s="104"/>
      <c r="Q38" s="104"/>
      <c r="R38" s="104"/>
      <c r="S38" s="103"/>
      <c r="T38" s="93"/>
    </row>
    <row r="39" spans="1:20" outlineLevel="1" x14ac:dyDescent="0.4">
      <c r="A39" s="69" t="s">
        <v>34</v>
      </c>
      <c r="B39" s="69"/>
      <c r="C39" s="69"/>
      <c r="D39" s="69"/>
      <c r="E39" s="69"/>
      <c r="F39" s="69"/>
      <c r="G39" s="69"/>
      <c r="H39" s="69" t="s">
        <v>79</v>
      </c>
      <c r="I39" s="97"/>
      <c r="K39" s="103"/>
      <c r="L39" s="104"/>
      <c r="M39" s="105"/>
      <c r="N39" s="105"/>
      <c r="O39" s="104"/>
      <c r="P39" s="104"/>
      <c r="Q39" s="104"/>
      <c r="R39" s="104"/>
      <c r="S39" s="103"/>
      <c r="T39" s="93"/>
    </row>
    <row r="40" spans="1:20" ht="16.5" customHeight="1" outlineLevel="1" x14ac:dyDescent="0.4">
      <c r="A40" s="151" t="s">
        <v>29</v>
      </c>
      <c r="B40" s="151"/>
      <c r="C40" s="154" t="s">
        <v>210</v>
      </c>
      <c r="D40" s="155"/>
      <c r="E40" s="156" t="s">
        <v>223</v>
      </c>
      <c r="F40" s="151" t="s">
        <v>12</v>
      </c>
      <c r="G40" s="72"/>
      <c r="H40" s="152" t="s">
        <v>80</v>
      </c>
      <c r="I40" s="152" t="s">
        <v>202</v>
      </c>
      <c r="J40" s="61"/>
      <c r="K40" s="103"/>
      <c r="L40" s="104" t="s">
        <v>56</v>
      </c>
      <c r="M40" s="105">
        <f ca="1">SUM(M41:M43)</f>
        <v>100000</v>
      </c>
      <c r="N40" s="105">
        <f ca="1">SUM(N41:N43)</f>
        <v>50000</v>
      </c>
      <c r="O40" s="104"/>
      <c r="P40" s="104"/>
      <c r="Q40" s="104"/>
      <c r="R40" s="104"/>
      <c r="S40" s="103"/>
      <c r="T40" s="93"/>
    </row>
    <row r="41" spans="1:20" outlineLevel="1" x14ac:dyDescent="0.4">
      <c r="A41" s="111" t="s">
        <v>18</v>
      </c>
      <c r="B41" s="111" t="s">
        <v>9</v>
      </c>
      <c r="C41" s="73" t="s">
        <v>211</v>
      </c>
      <c r="D41" s="112" t="s">
        <v>212</v>
      </c>
      <c r="E41" s="156"/>
      <c r="F41" s="151"/>
      <c r="G41" s="72"/>
      <c r="H41" s="152"/>
      <c r="I41" s="152"/>
      <c r="J41" s="61"/>
      <c r="K41" s="103"/>
      <c r="L41" s="104" t="s">
        <v>54</v>
      </c>
      <c r="M41" s="105">
        <f>50000+IF(A21="○",100000,0)+IF(B21="○",10000,0)+IF(C21="○",10000,0)+IF(D21="○",50000,0)+IF(E21="○",10000,0)+IF(F21="○",10000,0)</f>
        <v>50000</v>
      </c>
      <c r="N41" s="105">
        <f>50000+IF(A42="○",100000,0)+IF(B42="○",10000,0)+IF(C42="○",10000,0)+IF(D42="○",50000,0)+IF(E42="○",10000,0)+IF(F42="○",10000,0)</f>
        <v>50000</v>
      </c>
      <c r="O41" s="104"/>
      <c r="P41" s="104"/>
      <c r="Q41" s="104"/>
      <c r="R41" s="104"/>
      <c r="S41" s="103"/>
      <c r="T41" s="93"/>
    </row>
    <row r="42" spans="1:20" outlineLevel="1" x14ac:dyDescent="0.4">
      <c r="A42" s="111"/>
      <c r="B42" s="111"/>
      <c r="C42" s="114"/>
      <c r="D42" s="114"/>
      <c r="E42" s="111"/>
      <c r="F42" s="111"/>
      <c r="G42" s="72"/>
      <c r="H42" s="113">
        <v>680000</v>
      </c>
      <c r="I42" s="113">
        <f>N38</f>
        <v>920000</v>
      </c>
      <c r="J42" s="61"/>
      <c r="K42" s="103"/>
      <c r="L42" s="104" t="s">
        <v>53</v>
      </c>
      <c r="M42" s="105">
        <f ca="1">OFFSET(O22,J10,I10,1,1)</f>
        <v>0</v>
      </c>
      <c r="N42" s="105">
        <f ca="1">OFFSET(O22,J31,I31,1,1)</f>
        <v>0</v>
      </c>
      <c r="O42" s="104"/>
      <c r="P42" s="104"/>
      <c r="Q42" s="104"/>
      <c r="R42" s="104"/>
      <c r="S42" s="103"/>
      <c r="T42" s="93"/>
    </row>
    <row r="43" spans="1:20" outlineLevel="1" x14ac:dyDescent="0.4">
      <c r="A43" s="69"/>
      <c r="B43" s="69"/>
      <c r="C43" s="69"/>
      <c r="D43" s="69"/>
      <c r="E43" s="69"/>
      <c r="F43" s="69"/>
      <c r="G43" s="69"/>
      <c r="H43" s="69" t="s">
        <v>81</v>
      </c>
      <c r="I43" s="97"/>
      <c r="K43" s="103"/>
      <c r="L43" s="104" t="s">
        <v>52</v>
      </c>
      <c r="M43" s="105">
        <f>A13*180000+B13*130000+C13*100000+D13*50000+G13*220000+F13*100000+H13*10000</f>
        <v>50000</v>
      </c>
      <c r="N43" s="105">
        <f>A34*180000+B34*130000+C34*100000+D34*50000+G34*220000+F34*100000+H34*10000</f>
        <v>0</v>
      </c>
      <c r="O43" s="104"/>
      <c r="P43" s="104"/>
      <c r="Q43" s="104"/>
      <c r="R43" s="104"/>
      <c r="S43" s="103"/>
      <c r="T43" s="93"/>
    </row>
    <row r="44" spans="1:20" outlineLevel="1" x14ac:dyDescent="0.4">
      <c r="A44" s="102"/>
      <c r="B44" s="101"/>
      <c r="C44" s="69"/>
      <c r="D44" s="76" t="s">
        <v>39</v>
      </c>
      <c r="E44" s="76"/>
      <c r="F44" s="75">
        <f>N38</f>
        <v>920000</v>
      </c>
      <c r="G44" s="69"/>
      <c r="H44" s="69" t="s">
        <v>82</v>
      </c>
      <c r="I44" s="97"/>
      <c r="K44" s="103"/>
      <c r="L44" s="104"/>
      <c r="M44" s="105"/>
      <c r="N44" s="105"/>
      <c r="O44" s="104"/>
      <c r="P44" s="104"/>
      <c r="Q44" s="104"/>
      <c r="R44" s="104"/>
      <c r="S44" s="103"/>
      <c r="T44" s="93"/>
    </row>
    <row r="45" spans="1:20" outlineLevel="1" x14ac:dyDescent="0.4">
      <c r="A45" s="69"/>
      <c r="B45" s="69"/>
      <c r="C45" s="69"/>
      <c r="D45" s="77" t="s">
        <v>41</v>
      </c>
      <c r="E45" s="77"/>
      <c r="F45" s="78">
        <f ca="1">N45</f>
        <v>1500</v>
      </c>
      <c r="G45" s="69"/>
      <c r="H45" s="69" t="s">
        <v>83</v>
      </c>
      <c r="I45" s="97"/>
      <c r="L45" s="61" t="s">
        <v>57</v>
      </c>
      <c r="M45" s="63">
        <f ca="1">IF(C6="政令指定都市",0.04,0.03)*IF(M38&gt;2000000,MAX(50000,M40-(M38-2000000)),MIN(M40,M38))</f>
        <v>1590</v>
      </c>
      <c r="N45" s="63">
        <f ca="1">IF(C27="政令指定都市",0.04,0.03)*IF(N38&gt;2000000,MAX(50000,N40-(N38-2000000)),MIN(N40,N38))</f>
        <v>1500</v>
      </c>
    </row>
    <row r="46" spans="1:20" outlineLevel="1" x14ac:dyDescent="0.4">
      <c r="A46" s="69"/>
      <c r="B46" s="69"/>
      <c r="C46" s="69"/>
      <c r="D46" s="69"/>
      <c r="E46" s="69"/>
      <c r="F46" s="69" t="s">
        <v>221</v>
      </c>
      <c r="G46" s="69"/>
      <c r="H46" s="69"/>
      <c r="I46" s="97"/>
      <c r="M46" s="61" t="s">
        <v>75</v>
      </c>
      <c r="N46" s="61" t="s">
        <v>76</v>
      </c>
      <c r="O46" s="61" t="s">
        <v>77</v>
      </c>
      <c r="P46" s="61" t="s">
        <v>196</v>
      </c>
      <c r="Q46" s="62"/>
    </row>
    <row r="47" spans="1:20" outlineLevel="1" x14ac:dyDescent="0.4">
      <c r="A47" s="69"/>
      <c r="B47" s="69"/>
      <c r="C47" s="69"/>
      <c r="D47" s="69"/>
      <c r="E47" s="69"/>
      <c r="F47" s="69" t="s">
        <v>222</v>
      </c>
      <c r="G47" s="69"/>
      <c r="H47" s="69"/>
      <c r="I47" s="97"/>
      <c r="J47" s="62" t="s">
        <v>193</v>
      </c>
      <c r="K47" s="62">
        <v>500</v>
      </c>
      <c r="L47" s="61">
        <v>0</v>
      </c>
      <c r="M47" s="61">
        <v>387000</v>
      </c>
      <c r="N47" s="61">
        <v>200000</v>
      </c>
      <c r="O47" s="61">
        <v>100000</v>
      </c>
      <c r="P47" s="61">
        <v>0</v>
      </c>
      <c r="Q47" s="62">
        <v>396000</v>
      </c>
    </row>
    <row r="48" spans="1:20" outlineLevel="1" x14ac:dyDescent="0.4">
      <c r="A48" s="70" t="s">
        <v>70</v>
      </c>
      <c r="B48" s="69"/>
      <c r="C48" s="69"/>
      <c r="F48" s="69"/>
      <c r="G48" s="88"/>
      <c r="H48" s="88"/>
      <c r="I48" s="97"/>
      <c r="J48" s="62" t="s">
        <v>192</v>
      </c>
      <c r="K48" s="62">
        <v>609</v>
      </c>
      <c r="L48" s="61">
        <f ca="1">IF(E49=1,113700,OFFSET(L56,B52,B53))</f>
        <v>113700</v>
      </c>
      <c r="M48" s="61">
        <v>387000</v>
      </c>
      <c r="N48" s="61">
        <v>0</v>
      </c>
      <c r="O48" s="61">
        <v>100000</v>
      </c>
      <c r="P48" s="61">
        <v>154500</v>
      </c>
      <c r="Q48" s="62">
        <v>118800</v>
      </c>
    </row>
    <row r="49" spans="1:20" x14ac:dyDescent="0.4">
      <c r="A49" s="76" t="s">
        <v>71</v>
      </c>
      <c r="B49" s="80">
        <f ca="1">IF(E50="〇",S74,P78)</f>
        <v>174930</v>
      </c>
      <c r="C49" s="69"/>
      <c r="D49" s="79" t="s">
        <v>191</v>
      </c>
      <c r="E49" s="115">
        <v>1</v>
      </c>
      <c r="F49" s="69"/>
      <c r="G49" s="88"/>
      <c r="H49" s="88"/>
      <c r="I49" s="97"/>
      <c r="J49" s="62" t="s">
        <v>194</v>
      </c>
      <c r="K49" s="62">
        <v>720</v>
      </c>
      <c r="L49" s="61">
        <v>162300</v>
      </c>
      <c r="M49" s="61">
        <v>387000</v>
      </c>
      <c r="N49" s="61">
        <v>0</v>
      </c>
      <c r="O49" s="61">
        <v>0</v>
      </c>
      <c r="P49" s="61">
        <v>304200</v>
      </c>
      <c r="Q49" s="62">
        <v>0</v>
      </c>
    </row>
    <row r="50" spans="1:20" x14ac:dyDescent="0.4">
      <c r="A50" s="69"/>
      <c r="B50" s="69"/>
      <c r="C50" s="69" t="s">
        <v>224</v>
      </c>
      <c r="D50" s="82" t="s">
        <v>225</v>
      </c>
      <c r="E50" s="115"/>
      <c r="F50" s="69"/>
      <c r="G50" s="88"/>
      <c r="H50" s="88"/>
      <c r="I50" s="97"/>
      <c r="J50" s="62" t="s">
        <v>195</v>
      </c>
      <c r="L50" s="61">
        <v>212700</v>
      </c>
      <c r="M50" s="61">
        <v>0</v>
      </c>
      <c r="N50" s="61">
        <v>0</v>
      </c>
      <c r="O50" s="61">
        <v>0</v>
      </c>
      <c r="Q50" s="62"/>
    </row>
    <row r="51" spans="1:20" x14ac:dyDescent="0.4">
      <c r="A51" s="69" t="s">
        <v>184</v>
      </c>
      <c r="B51" s="69"/>
      <c r="C51" s="69"/>
      <c r="D51" s="69"/>
      <c r="E51" s="99" t="s">
        <v>226</v>
      </c>
      <c r="F51" s="69"/>
      <c r="G51" s="88"/>
      <c r="H51" s="88"/>
      <c r="I51" s="97"/>
    </row>
    <row r="52" spans="1:20" x14ac:dyDescent="0.4">
      <c r="A52" s="82" t="s">
        <v>185</v>
      </c>
      <c r="B52" s="115">
        <f>SUM(E13,E34)</f>
        <v>2</v>
      </c>
      <c r="C52" s="69"/>
      <c r="E52" s="3" t="s">
        <v>227</v>
      </c>
      <c r="G52" s="88"/>
      <c r="H52" s="88"/>
      <c r="I52" s="97"/>
    </row>
    <row r="53" spans="1:20" x14ac:dyDescent="0.4">
      <c r="A53" s="69" t="s">
        <v>187</v>
      </c>
      <c r="B53" s="149">
        <f>SUM(D34,D13)</f>
        <v>1</v>
      </c>
      <c r="C53" s="69"/>
      <c r="G53" s="88"/>
      <c r="H53" s="88"/>
      <c r="I53" s="97"/>
    </row>
    <row r="54" spans="1:20" x14ac:dyDescent="0.4">
      <c r="A54" s="82" t="s">
        <v>186</v>
      </c>
      <c r="B54" s="150"/>
      <c r="C54" s="69"/>
      <c r="G54" s="88"/>
      <c r="H54" s="88"/>
      <c r="I54" s="97"/>
      <c r="L54" s="61" t="s">
        <v>189</v>
      </c>
    </row>
    <row r="55" spans="1:20" x14ac:dyDescent="0.4">
      <c r="A55" s="69" t="s">
        <v>198</v>
      </c>
      <c r="B55" s="69"/>
      <c r="C55" s="69"/>
      <c r="G55" s="69"/>
      <c r="H55" s="69"/>
      <c r="I55" s="97"/>
      <c r="K55" s="62" t="s">
        <v>188</v>
      </c>
      <c r="L55" s="61">
        <v>0</v>
      </c>
      <c r="M55" s="63">
        <v>1</v>
      </c>
      <c r="N55" s="63">
        <v>2</v>
      </c>
      <c r="O55" s="61">
        <v>3</v>
      </c>
      <c r="P55" s="61">
        <v>4</v>
      </c>
      <c r="Q55" s="61">
        <v>5</v>
      </c>
    </row>
    <row r="56" spans="1:20" x14ac:dyDescent="0.4">
      <c r="A56" s="69" t="s">
        <v>199</v>
      </c>
      <c r="B56" s="69"/>
      <c r="C56" s="69"/>
      <c r="G56" s="69"/>
      <c r="H56" s="69"/>
      <c r="I56" s="97"/>
      <c r="J56" s="62" t="s">
        <v>190</v>
      </c>
      <c r="K56" s="62">
        <v>0</v>
      </c>
      <c r="L56" s="61">
        <v>113700</v>
      </c>
      <c r="M56" s="61">
        <v>113700</v>
      </c>
      <c r="N56" s="61">
        <v>113700</v>
      </c>
      <c r="O56" s="61">
        <v>115600</v>
      </c>
      <c r="P56" s="61">
        <v>133020</v>
      </c>
      <c r="Q56" s="61">
        <v>145800</v>
      </c>
    </row>
    <row r="57" spans="1:20" ht="17.25" customHeight="1" x14ac:dyDescent="0.4">
      <c r="A57" s="69"/>
      <c r="B57" s="69"/>
      <c r="C57" s="69"/>
      <c r="G57" s="69"/>
      <c r="H57" s="69"/>
      <c r="I57" s="97"/>
      <c r="K57" s="62">
        <v>1</v>
      </c>
      <c r="L57" s="61">
        <v>113700</v>
      </c>
      <c r="M57" s="61">
        <v>113700</v>
      </c>
      <c r="N57" s="61">
        <v>129300</v>
      </c>
      <c r="O57" s="61">
        <v>141900</v>
      </c>
      <c r="P57" s="61">
        <v>154500</v>
      </c>
      <c r="Q57" s="61">
        <v>167100</v>
      </c>
    </row>
    <row r="58" spans="1:20" x14ac:dyDescent="0.4">
      <c r="A58" s="76" t="s">
        <v>72</v>
      </c>
      <c r="B58" s="76"/>
      <c r="C58" s="75">
        <f ca="1">SUM(C59:C60)</f>
        <v>387000</v>
      </c>
      <c r="D58" s="69"/>
      <c r="E58" s="69"/>
      <c r="F58" s="69"/>
      <c r="G58" s="69"/>
      <c r="H58" s="69"/>
      <c r="I58" s="97"/>
      <c r="K58" s="62">
        <v>2</v>
      </c>
      <c r="L58" s="61">
        <v>113700</v>
      </c>
      <c r="M58" s="61">
        <v>138000</v>
      </c>
      <c r="N58" s="61">
        <v>150600</v>
      </c>
      <c r="O58" s="61">
        <v>163200</v>
      </c>
      <c r="P58" s="61">
        <v>175800</v>
      </c>
      <c r="Q58" s="61">
        <v>188400</v>
      </c>
    </row>
    <row r="59" spans="1:20" x14ac:dyDescent="0.4">
      <c r="A59" s="77" t="s">
        <v>14</v>
      </c>
      <c r="B59" s="77"/>
      <c r="C59" s="81">
        <f ca="1">VLOOKUP(B49,$P$47:$Q$49,2,TRUE)</f>
        <v>118800</v>
      </c>
      <c r="D59" s="69"/>
      <c r="E59" s="69"/>
      <c r="F59" s="69"/>
      <c r="G59" s="96"/>
      <c r="K59" s="62">
        <v>3</v>
      </c>
      <c r="L59" s="61">
        <v>146700</v>
      </c>
      <c r="M59" s="61">
        <v>159300</v>
      </c>
      <c r="N59" s="61">
        <v>171900</v>
      </c>
      <c r="O59" s="61">
        <v>184500</v>
      </c>
      <c r="P59" s="61">
        <v>197100</v>
      </c>
      <c r="Q59" s="61">
        <v>209700</v>
      </c>
    </row>
    <row r="60" spans="1:20" x14ac:dyDescent="0.4">
      <c r="A60" s="77" t="s">
        <v>15</v>
      </c>
      <c r="B60" s="77"/>
      <c r="C60" s="81">
        <f ca="1">MAX(0,IF(B49&lt;K68,M47,VLOOKUP(B49,$L$47:$M$50,2,TRUE))-C59)</f>
        <v>268200</v>
      </c>
      <c r="D60" s="69"/>
      <c r="E60" s="69"/>
      <c r="F60" s="69"/>
      <c r="G60" s="95"/>
      <c r="K60" s="62">
        <v>4</v>
      </c>
      <c r="L60" s="61">
        <v>168000</v>
      </c>
      <c r="M60" s="61">
        <v>180600</v>
      </c>
      <c r="N60" s="61">
        <v>193200</v>
      </c>
      <c r="O60" s="61">
        <v>205800</v>
      </c>
      <c r="P60" s="61">
        <v>218400</v>
      </c>
      <c r="Q60" s="61">
        <v>231000</v>
      </c>
    </row>
    <row r="61" spans="1:20" x14ac:dyDescent="0.4">
      <c r="A61" s="77" t="s">
        <v>73</v>
      </c>
      <c r="B61" s="77"/>
      <c r="C61" s="78">
        <f ca="1">IF(B49&lt;K68,N47,VLOOKUP(B49,$L$47:$O$50,3,TRUE))</f>
        <v>0</v>
      </c>
      <c r="D61" s="95"/>
      <c r="E61" s="95"/>
      <c r="F61" s="95"/>
      <c r="K61" s="62">
        <v>5</v>
      </c>
      <c r="L61" s="61">
        <v>189400</v>
      </c>
      <c r="M61" s="61">
        <v>201900</v>
      </c>
      <c r="N61" s="61">
        <v>214500</v>
      </c>
      <c r="O61" s="61">
        <v>227100</v>
      </c>
      <c r="P61" s="61">
        <v>239700</v>
      </c>
      <c r="Q61" s="61">
        <v>252300</v>
      </c>
    </row>
    <row r="62" spans="1:20" ht="17.25" thickBot="1" x14ac:dyDescent="0.45">
      <c r="A62" s="83" t="s">
        <v>74</v>
      </c>
      <c r="B62" s="83"/>
      <c r="C62" s="84">
        <f ca="1">IF(E49=1,IF(B49&lt;K68,O47,VLOOKUP(B49,$L$47:$O$50,4,TRUE)),0)</f>
        <v>0</v>
      </c>
      <c r="D62" s="95"/>
      <c r="E62" s="95"/>
      <c r="F62" s="95"/>
    </row>
    <row r="63" spans="1:20" ht="18" thickTop="1" thickBot="1" x14ac:dyDescent="0.45">
      <c r="A63" s="85" t="s">
        <v>166</v>
      </c>
      <c r="B63" s="86"/>
      <c r="C63" s="87">
        <f ca="1">SUM(C58,C61,C62)</f>
        <v>387000</v>
      </c>
      <c r="J63" s="106" t="s">
        <v>228</v>
      </c>
      <c r="K63" s="106"/>
      <c r="L63" s="107"/>
      <c r="M63" s="107" t="s">
        <v>231</v>
      </c>
      <c r="N63" s="107" t="s">
        <v>233</v>
      </c>
      <c r="O63" s="108">
        <f ca="1">F23</f>
        <v>2047000</v>
      </c>
      <c r="P63" s="108"/>
      <c r="Q63" s="107"/>
      <c r="R63" s="107"/>
      <c r="S63" s="107"/>
    </row>
    <row r="64" spans="1:20" ht="17.25" thickTop="1" x14ac:dyDescent="0.4">
      <c r="J64" s="106" t="s">
        <v>185</v>
      </c>
      <c r="K64" s="116">
        <f>IF($E$50="",B52,IF($E$50="〇",MAX(0,B52-1)))</f>
        <v>2</v>
      </c>
      <c r="L64" s="107"/>
      <c r="M64" s="107" t="s">
        <v>231</v>
      </c>
      <c r="N64" s="107" t="s">
        <v>235</v>
      </c>
      <c r="O64" s="108">
        <f ca="1">F24</f>
        <v>1590</v>
      </c>
      <c r="P64" s="107">
        <f ca="1">IF(C6="政令指定都市",O64*3/4,O64)</f>
        <v>1590</v>
      </c>
      <c r="Q64" s="107"/>
      <c r="R64" s="107"/>
      <c r="S64" s="107"/>
      <c r="T64" s="4"/>
    </row>
    <row r="65" spans="10:20" x14ac:dyDescent="0.4">
      <c r="J65" s="106" t="s">
        <v>187</v>
      </c>
      <c r="K65" s="162">
        <f>IF($E$50="",B53,IF($E$50="〇",MAX(0,B53+1)))</f>
        <v>1</v>
      </c>
      <c r="L65" s="107"/>
      <c r="M65" s="107" t="s">
        <v>232</v>
      </c>
      <c r="N65" s="107" t="s">
        <v>234</v>
      </c>
      <c r="O65" s="108">
        <f>F44</f>
        <v>920000</v>
      </c>
      <c r="P65" s="107"/>
      <c r="Q65" s="107"/>
      <c r="R65" s="107"/>
      <c r="S65" s="109"/>
      <c r="T65" s="4"/>
    </row>
    <row r="66" spans="10:20" x14ac:dyDescent="0.4">
      <c r="J66" s="106" t="s">
        <v>186</v>
      </c>
      <c r="K66" s="162"/>
      <c r="L66" s="107"/>
      <c r="M66" s="107" t="s">
        <v>232</v>
      </c>
      <c r="N66" s="107" t="s">
        <v>235</v>
      </c>
      <c r="O66" s="108">
        <f ca="1">F45</f>
        <v>1500</v>
      </c>
      <c r="P66" s="107">
        <f ca="1">IF(C27="政令指定都市",O66*3/4,O66)</f>
        <v>1500</v>
      </c>
      <c r="Q66" s="107"/>
      <c r="R66" s="107"/>
      <c r="S66" s="109"/>
      <c r="T66" s="4"/>
    </row>
    <row r="67" spans="10:20" x14ac:dyDescent="0.4">
      <c r="J67" s="109" t="s">
        <v>229</v>
      </c>
      <c r="K67" s="109"/>
      <c r="L67" s="107"/>
      <c r="M67" s="110" t="s">
        <v>230</v>
      </c>
      <c r="N67" s="107"/>
      <c r="O67" s="108"/>
      <c r="P67" s="107"/>
      <c r="Q67" s="107"/>
      <c r="R67" s="107"/>
      <c r="S67" s="109"/>
      <c r="T67" s="4"/>
    </row>
    <row r="68" spans="10:20" x14ac:dyDescent="0.4">
      <c r="J68" s="109"/>
      <c r="K68" s="109">
        <f>INDEX(K55:Q61,K64+2,K65+2)</f>
        <v>138000</v>
      </c>
      <c r="L68" s="107"/>
      <c r="M68" s="107"/>
      <c r="N68" s="108"/>
      <c r="O68" s="107" t="s">
        <v>237</v>
      </c>
      <c r="P68" s="108">
        <f ca="1">MIN(O63,O65)</f>
        <v>920000</v>
      </c>
      <c r="Q68" s="107" t="s">
        <v>236</v>
      </c>
      <c r="R68" s="107">
        <f ca="1">P68*0.06</f>
        <v>55200</v>
      </c>
      <c r="S68" s="107"/>
      <c r="T68" s="4"/>
    </row>
    <row r="69" spans="10:20" x14ac:dyDescent="0.4">
      <c r="J69" s="109"/>
      <c r="K69" s="109"/>
      <c r="L69" s="107"/>
      <c r="M69" s="107"/>
      <c r="N69" s="107"/>
      <c r="O69" s="107" t="s">
        <v>238</v>
      </c>
      <c r="P69" s="108">
        <f ca="1">MAX(O63,O65)</f>
        <v>2047000</v>
      </c>
      <c r="Q69" s="107"/>
      <c r="R69" s="107"/>
      <c r="S69" s="109"/>
    </row>
    <row r="70" spans="10:20" x14ac:dyDescent="0.4">
      <c r="J70" s="109"/>
      <c r="K70" s="109"/>
      <c r="L70" s="107"/>
      <c r="M70" s="107"/>
      <c r="N70" s="107"/>
      <c r="O70" s="107"/>
      <c r="P70" s="107" t="s">
        <v>239</v>
      </c>
      <c r="Q70" s="108">
        <f ca="1">P69-330000</f>
        <v>1717000</v>
      </c>
      <c r="R70" s="107"/>
      <c r="S70" s="109"/>
    </row>
    <row r="71" spans="10:20" x14ac:dyDescent="0.4">
      <c r="J71" s="109"/>
      <c r="K71" s="109"/>
      <c r="L71" s="107"/>
      <c r="M71" s="107"/>
      <c r="N71" s="107"/>
      <c r="O71" s="107"/>
      <c r="P71" s="107"/>
      <c r="Q71" s="107" t="s">
        <v>236</v>
      </c>
      <c r="R71" s="107">
        <f ca="1">ROUNDDOWN(Q70*0.06,0)</f>
        <v>103020</v>
      </c>
      <c r="S71" s="107"/>
    </row>
    <row r="72" spans="10:20" x14ac:dyDescent="0.4">
      <c r="J72" s="109"/>
      <c r="K72" s="109"/>
      <c r="L72" s="107"/>
      <c r="M72" s="107"/>
      <c r="N72" s="107"/>
      <c r="O72" s="107"/>
      <c r="P72" s="107"/>
      <c r="Q72" s="107" t="s">
        <v>240</v>
      </c>
      <c r="R72" s="107">
        <f ca="1">R68+R71</f>
        <v>158220</v>
      </c>
      <c r="S72" s="107"/>
    </row>
    <row r="73" spans="10:20" x14ac:dyDescent="0.4">
      <c r="J73" s="109"/>
      <c r="K73" s="109"/>
      <c r="L73" s="107"/>
      <c r="M73" s="107"/>
      <c r="N73" s="107"/>
      <c r="O73" s="107"/>
      <c r="P73" s="107"/>
      <c r="Q73" s="107"/>
      <c r="R73" s="107" t="s">
        <v>241</v>
      </c>
      <c r="S73" s="108">
        <f ca="1">P64+P66</f>
        <v>3090</v>
      </c>
    </row>
    <row r="74" spans="10:20" x14ac:dyDescent="0.4">
      <c r="J74" s="109"/>
      <c r="K74" s="109"/>
      <c r="L74" s="107"/>
      <c r="M74" s="107"/>
      <c r="N74" s="107"/>
      <c r="O74" s="107"/>
      <c r="P74" s="107"/>
      <c r="Q74" s="107"/>
      <c r="R74" s="107" t="s">
        <v>246</v>
      </c>
      <c r="S74" s="108">
        <f ca="1">R72-S73</f>
        <v>155130</v>
      </c>
    </row>
    <row r="75" spans="10:20" x14ac:dyDescent="0.4">
      <c r="J75" s="109"/>
      <c r="K75" s="109"/>
      <c r="L75" s="107"/>
      <c r="M75" s="110" t="s">
        <v>243</v>
      </c>
      <c r="N75" s="108"/>
      <c r="O75" s="107"/>
      <c r="P75" s="107"/>
      <c r="Q75" s="107"/>
      <c r="R75" s="107"/>
      <c r="S75" s="109"/>
    </row>
    <row r="76" spans="10:20" x14ac:dyDescent="0.4">
      <c r="J76" s="109"/>
      <c r="K76" s="109"/>
      <c r="L76" s="107"/>
      <c r="M76" s="108"/>
      <c r="N76" s="108" t="s">
        <v>0</v>
      </c>
      <c r="O76" s="107" t="s">
        <v>42</v>
      </c>
      <c r="P76" s="107">
        <f ca="1">O63*0.06-P64</f>
        <v>121230</v>
      </c>
      <c r="Q76" s="107"/>
      <c r="R76" s="107"/>
      <c r="S76" s="109"/>
    </row>
    <row r="77" spans="10:20" x14ac:dyDescent="0.4">
      <c r="J77" s="109"/>
      <c r="K77" s="109"/>
      <c r="L77" s="107"/>
      <c r="M77" s="108"/>
      <c r="N77" s="108" t="s">
        <v>62</v>
      </c>
      <c r="O77" s="107" t="s">
        <v>42</v>
      </c>
      <c r="P77" s="107">
        <f ca="1">O65*0.06-P66</f>
        <v>53700</v>
      </c>
      <c r="Q77" s="107"/>
      <c r="R77" s="107"/>
      <c r="S77" s="109"/>
    </row>
    <row r="78" spans="10:20" x14ac:dyDescent="0.4">
      <c r="J78" s="109"/>
      <c r="K78" s="109"/>
      <c r="L78" s="107"/>
      <c r="M78" s="108"/>
      <c r="N78" s="108"/>
      <c r="O78" s="107" t="s">
        <v>246</v>
      </c>
      <c r="P78" s="107">
        <f ca="1">P76+P77</f>
        <v>174930</v>
      </c>
      <c r="Q78" s="107"/>
      <c r="R78" s="107"/>
      <c r="S78" s="109"/>
    </row>
  </sheetData>
  <sheetProtection selectLockedCells="1" selectUnlockedCells="1"/>
  <mergeCells count="48">
    <mergeCell ref="B53:B54"/>
    <mergeCell ref="I40:I41"/>
    <mergeCell ref="A36:B37"/>
    <mergeCell ref="C36:D37"/>
    <mergeCell ref="E36:I36"/>
    <mergeCell ref="A38:B38"/>
    <mergeCell ref="C38:D38"/>
    <mergeCell ref="A40:B40"/>
    <mergeCell ref="C40:D40"/>
    <mergeCell ref="E40:E41"/>
    <mergeCell ref="F40:F41"/>
    <mergeCell ref="H40:H41"/>
    <mergeCell ref="A30:B30"/>
    <mergeCell ref="C30:D30"/>
    <mergeCell ref="E30:F30"/>
    <mergeCell ref="G30:H30"/>
    <mergeCell ref="A32:D32"/>
    <mergeCell ref="E32:E33"/>
    <mergeCell ref="F32:H32"/>
    <mergeCell ref="H19:H20"/>
    <mergeCell ref="I19:I20"/>
    <mergeCell ref="C27:D27"/>
    <mergeCell ref="A29:B29"/>
    <mergeCell ref="C29:D29"/>
    <mergeCell ref="E29:F29"/>
    <mergeCell ref="G29:H29"/>
    <mergeCell ref="F19:F20"/>
    <mergeCell ref="C6:D6"/>
    <mergeCell ref="A8:B8"/>
    <mergeCell ref="C8:D8"/>
    <mergeCell ref="E8:F8"/>
    <mergeCell ref="G8:H8"/>
    <mergeCell ref="K65:K66"/>
    <mergeCell ref="A9:B9"/>
    <mergeCell ref="C9:D9"/>
    <mergeCell ref="E9:F9"/>
    <mergeCell ref="G9:H9"/>
    <mergeCell ref="A11:D11"/>
    <mergeCell ref="E11:E12"/>
    <mergeCell ref="F11:H11"/>
    <mergeCell ref="A15:B16"/>
    <mergeCell ref="C15:D16"/>
    <mergeCell ref="E15:I15"/>
    <mergeCell ref="A17:B17"/>
    <mergeCell ref="C17:D17"/>
    <mergeCell ref="A19:B19"/>
    <mergeCell ref="C19:D19"/>
    <mergeCell ref="E19:E20"/>
  </mergeCells>
  <phoneticPr fontId="3"/>
  <conditionalFormatting sqref="G9:H9">
    <cfRule type="expression" dxfId="1" priority="2">
      <formula>OR($E$9="無",E9="")</formula>
    </cfRule>
  </conditionalFormatting>
  <conditionalFormatting sqref="G30:H30">
    <cfRule type="expression" dxfId="0" priority="1">
      <formula>OR($E$30="無",E30="")</formula>
    </cfRule>
  </conditionalFormatting>
  <dataValidations count="7">
    <dataValidation type="list" allowBlank="1" showInputMessage="1" showErrorMessage="1" sqref="E21:F21 B21" xr:uid="{8926CAAD-1ECE-4D0B-A079-13EE06D0FE81}">
      <formula1>"○"</formula1>
    </dataValidation>
    <dataValidation type="list" allowBlank="1" showInputMessage="1" showErrorMessage="1" sqref="A21 A42:F42 C21:D21" xr:uid="{BEADC9BD-D121-460B-ADEE-E9753079641E}">
      <formula1>",○"</formula1>
    </dataValidation>
    <dataValidation type="list" allowBlank="1" showInputMessage="1" showErrorMessage="1" sqref="C6 C27" xr:uid="{9E4FB1BB-0A19-4F39-9F7C-8929ED6BA364}">
      <formula1>"政令指定都市,政令指定都市以外"</formula1>
    </dataValidation>
    <dataValidation type="list" allowBlank="1" showInputMessage="1" showErrorMessage="1" sqref="E9:F9 E30:F30" xr:uid="{AA3F4C0E-9C16-4ABC-B832-3EF4E80D599E}">
      <formula1>"無,有,老人"</formula1>
    </dataValidation>
    <dataValidation type="list" allowBlank="1" showInputMessage="1" showErrorMessage="1" sqref="E49" xr:uid="{391C0D00-6EF3-479D-940F-9F4F6759EF20}">
      <formula1>"1,2,3"</formula1>
    </dataValidation>
    <dataValidation type="list" allowBlank="1" showInputMessage="1" showErrorMessage="1" sqref="E50" xr:uid="{03DA0B1A-B544-4542-9C82-465C9ECF2791}">
      <formula1>"〇"</formula1>
    </dataValidation>
    <dataValidation type="list" allowBlank="1" showInputMessage="1" showErrorMessage="1" sqref="G59" xr:uid="{ABBEE94A-3385-4148-89A2-966D1FF3F61B}">
      <formula1>"〇,×"</formula1>
    </dataValidation>
  </dataValidations>
  <pageMargins left="0.7" right="0.7" top="0.75" bottom="0.75" header="0.3" footer="0.3"/>
  <pageSetup paperSize="8" scale="6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showGridLines="0" workbookViewId="0">
      <selection activeCell="M1" sqref="A1:M22"/>
    </sheetView>
  </sheetViews>
  <sheetFormatPr defaultRowHeight="12" x14ac:dyDescent="0.4"/>
  <cols>
    <col min="1" max="1" width="2.625" style="29" customWidth="1"/>
    <col min="2" max="2" width="3" style="29" customWidth="1"/>
    <col min="3" max="3" width="13.625" style="29" customWidth="1"/>
    <col min="4" max="4" width="12.625" style="29" bestFit="1" customWidth="1"/>
    <col min="5" max="5" width="15.875" style="29" customWidth="1"/>
    <col min="6" max="6" width="9" style="29"/>
    <col min="7" max="7" width="3.25" style="29" bestFit="1" customWidth="1"/>
    <col min="8" max="8" width="5" style="29" customWidth="1"/>
    <col min="9" max="9" width="5" style="29" bestFit="1" customWidth="1"/>
    <col min="10" max="12" width="5" style="29" customWidth="1"/>
    <col min="13" max="13" width="2.625" style="29" customWidth="1"/>
    <col min="14" max="16384" width="9" style="29"/>
  </cols>
  <sheetData>
    <row r="1" spans="2:12" ht="12.75" thickBot="1" x14ac:dyDescent="0.45"/>
    <row r="2" spans="2:12" ht="14.25" thickBot="1" x14ac:dyDescent="0.45">
      <c r="B2" s="163" t="s">
        <v>154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x14ac:dyDescent="0.4">
      <c r="B3" s="166" t="s">
        <v>155</v>
      </c>
      <c r="C3" s="167"/>
      <c r="D3" s="30"/>
      <c r="E3" s="31"/>
      <c r="F3" s="32"/>
      <c r="G3" s="30"/>
      <c r="H3" s="31"/>
      <c r="I3" s="31"/>
      <c r="J3" s="31"/>
      <c r="K3" s="31"/>
      <c r="L3" s="33"/>
    </row>
    <row r="4" spans="2:12" ht="12.75" thickBot="1" x14ac:dyDescent="0.45">
      <c r="B4" s="168" t="s">
        <v>156</v>
      </c>
      <c r="C4" s="169"/>
      <c r="D4" s="34"/>
      <c r="E4" s="35"/>
      <c r="F4" s="36"/>
      <c r="G4" s="34"/>
      <c r="H4" s="35"/>
      <c r="I4" s="35"/>
      <c r="J4" s="35"/>
      <c r="K4" s="35"/>
      <c r="L4" s="37"/>
    </row>
    <row r="5" spans="2:12" x14ac:dyDescent="0.4">
      <c r="B5" s="170" t="s">
        <v>157</v>
      </c>
      <c r="C5" s="171"/>
      <c r="D5" s="172"/>
      <c r="E5" s="170" t="s">
        <v>158</v>
      </c>
      <c r="F5" s="172"/>
      <c r="G5" s="173" t="s">
        <v>159</v>
      </c>
      <c r="H5" s="174"/>
      <c r="I5" s="174"/>
      <c r="J5" s="174"/>
      <c r="K5" s="174"/>
      <c r="L5" s="175"/>
    </row>
    <row r="6" spans="2:12" x14ac:dyDescent="0.4">
      <c r="B6" s="180" t="s">
        <v>160</v>
      </c>
      <c r="C6" s="181"/>
      <c r="D6" s="57">
        <v>2400000</v>
      </c>
      <c r="E6" s="39" t="s">
        <v>161</v>
      </c>
      <c r="F6" s="57">
        <v>250000</v>
      </c>
      <c r="G6" s="182" t="s">
        <v>146</v>
      </c>
      <c r="H6" s="181" t="s">
        <v>147</v>
      </c>
      <c r="I6" s="181"/>
      <c r="J6" s="188">
        <v>53700</v>
      </c>
      <c r="K6" s="189"/>
      <c r="L6" s="190"/>
    </row>
    <row r="7" spans="2:12" x14ac:dyDescent="0.4">
      <c r="B7" s="180" t="s">
        <v>162</v>
      </c>
      <c r="C7" s="181"/>
      <c r="D7" s="38" t="s">
        <v>181</v>
      </c>
      <c r="E7" s="39" t="s">
        <v>163</v>
      </c>
      <c r="F7" s="38" t="s">
        <v>182</v>
      </c>
      <c r="G7" s="182"/>
      <c r="H7" s="181" t="s">
        <v>148</v>
      </c>
      <c r="I7" s="181"/>
      <c r="J7" s="188">
        <v>3500</v>
      </c>
      <c r="K7" s="189"/>
      <c r="L7" s="190"/>
    </row>
    <row r="8" spans="2:12" x14ac:dyDescent="0.4">
      <c r="B8" s="183" t="s">
        <v>164</v>
      </c>
      <c r="C8" s="40" t="s">
        <v>165</v>
      </c>
      <c r="D8" s="57">
        <v>1500000</v>
      </c>
      <c r="E8" s="39" t="s">
        <v>150</v>
      </c>
      <c r="F8" s="38" t="s">
        <v>182</v>
      </c>
      <c r="G8" s="182"/>
      <c r="H8" s="181" t="s">
        <v>166</v>
      </c>
      <c r="I8" s="181"/>
      <c r="J8" s="188">
        <f>SUM(J6:L7)</f>
        <v>57200</v>
      </c>
      <c r="K8" s="189"/>
      <c r="L8" s="190"/>
    </row>
    <row r="9" spans="2:12" x14ac:dyDescent="0.4">
      <c r="B9" s="183"/>
      <c r="C9" s="41" t="s">
        <v>167</v>
      </c>
      <c r="D9" s="38"/>
      <c r="E9" s="39" t="s">
        <v>168</v>
      </c>
      <c r="F9" s="38" t="s">
        <v>182</v>
      </c>
      <c r="G9" s="182" t="s">
        <v>149</v>
      </c>
      <c r="H9" s="181" t="s">
        <v>147</v>
      </c>
      <c r="I9" s="181"/>
      <c r="J9" s="188">
        <v>35800</v>
      </c>
      <c r="K9" s="189"/>
      <c r="L9" s="190"/>
    </row>
    <row r="10" spans="2:12" x14ac:dyDescent="0.4">
      <c r="B10" s="183"/>
      <c r="C10" s="40"/>
      <c r="D10" s="42"/>
      <c r="E10" s="39" t="s">
        <v>151</v>
      </c>
      <c r="F10" s="38" t="s">
        <v>182</v>
      </c>
      <c r="G10" s="182"/>
      <c r="H10" s="181" t="s">
        <v>148</v>
      </c>
      <c r="I10" s="181"/>
      <c r="J10" s="188">
        <v>1500</v>
      </c>
      <c r="K10" s="189"/>
      <c r="L10" s="190"/>
    </row>
    <row r="11" spans="2:12" x14ac:dyDescent="0.4">
      <c r="B11" s="183"/>
      <c r="C11" s="40"/>
      <c r="D11" s="42"/>
      <c r="E11" s="39" t="s">
        <v>152</v>
      </c>
      <c r="F11" s="57">
        <v>330000</v>
      </c>
      <c r="G11" s="182"/>
      <c r="H11" s="181" t="s">
        <v>166</v>
      </c>
      <c r="I11" s="181"/>
      <c r="J11" s="188">
        <f>SUM(J9:L10)</f>
        <v>37300</v>
      </c>
      <c r="K11" s="189"/>
      <c r="L11" s="190"/>
    </row>
    <row r="12" spans="2:12" ht="12.75" thickBot="1" x14ac:dyDescent="0.45">
      <c r="B12" s="183"/>
      <c r="C12" s="40"/>
      <c r="D12" s="42"/>
      <c r="E12" s="43" t="s">
        <v>167</v>
      </c>
      <c r="F12" s="38"/>
      <c r="G12" s="194" t="s">
        <v>153</v>
      </c>
      <c r="H12" s="195"/>
      <c r="I12" s="195"/>
      <c r="J12" s="188">
        <f>J11+J8</f>
        <v>94500</v>
      </c>
      <c r="K12" s="189"/>
      <c r="L12" s="190"/>
    </row>
    <row r="13" spans="2:12" x14ac:dyDescent="0.4">
      <c r="B13" s="183"/>
      <c r="C13" s="40"/>
      <c r="D13" s="42"/>
      <c r="E13" s="39"/>
      <c r="F13" s="38"/>
      <c r="G13" s="173" t="s">
        <v>169</v>
      </c>
      <c r="H13" s="174"/>
      <c r="I13" s="174"/>
      <c r="J13" s="174"/>
      <c r="K13" s="174"/>
      <c r="L13" s="175"/>
    </row>
    <row r="14" spans="2:12" x14ac:dyDescent="0.4">
      <c r="B14" s="183"/>
      <c r="C14" s="40"/>
      <c r="D14" s="42"/>
      <c r="E14" s="39"/>
      <c r="F14" s="38"/>
      <c r="G14" s="196" t="s">
        <v>170</v>
      </c>
      <c r="H14" s="197"/>
      <c r="I14" s="198"/>
      <c r="J14" s="191">
        <v>920000</v>
      </c>
      <c r="K14" s="192"/>
      <c r="L14" s="193"/>
    </row>
    <row r="15" spans="2:12" ht="12.75" thickBot="1" x14ac:dyDescent="0.45">
      <c r="B15" s="183"/>
      <c r="C15" s="40"/>
      <c r="D15" s="42"/>
      <c r="E15" s="39"/>
      <c r="F15" s="38"/>
      <c r="G15" s="199" t="s">
        <v>171</v>
      </c>
      <c r="H15" s="200"/>
      <c r="I15" s="201"/>
      <c r="J15" s="177" t="s">
        <v>180</v>
      </c>
      <c r="K15" s="178"/>
      <c r="L15" s="179"/>
    </row>
    <row r="16" spans="2:12" x14ac:dyDescent="0.4">
      <c r="B16" s="183"/>
      <c r="C16" s="40"/>
      <c r="D16" s="42"/>
      <c r="E16" s="39"/>
      <c r="F16" s="38"/>
      <c r="G16" s="202" t="s">
        <v>172</v>
      </c>
      <c r="H16" s="176"/>
      <c r="I16" s="176" t="s">
        <v>5</v>
      </c>
      <c r="J16" s="176"/>
      <c r="K16" s="176"/>
      <c r="L16" s="58" t="s">
        <v>179</v>
      </c>
    </row>
    <row r="17" spans="2:12" ht="12.75" thickBot="1" x14ac:dyDescent="0.45">
      <c r="B17" s="183"/>
      <c r="C17" s="40"/>
      <c r="D17" s="42"/>
      <c r="E17" s="44"/>
      <c r="F17" s="45"/>
      <c r="G17" s="182"/>
      <c r="H17" s="203"/>
      <c r="I17" s="41" t="s">
        <v>31</v>
      </c>
      <c r="J17" s="41"/>
      <c r="K17" s="46" t="s">
        <v>173</v>
      </c>
      <c r="L17" s="38"/>
    </row>
    <row r="18" spans="2:12" ht="12.75" thickBot="1" x14ac:dyDescent="0.45">
      <c r="B18" s="184"/>
      <c r="C18" s="47"/>
      <c r="D18" s="48"/>
      <c r="E18" s="49" t="s">
        <v>174</v>
      </c>
      <c r="F18" s="60">
        <v>580000</v>
      </c>
      <c r="G18" s="182"/>
      <c r="H18" s="203"/>
      <c r="I18" s="41" t="s">
        <v>7</v>
      </c>
      <c r="J18" s="41"/>
      <c r="K18" s="46" t="s">
        <v>11</v>
      </c>
      <c r="L18" s="38"/>
    </row>
    <row r="19" spans="2:12" ht="12.75" thickBot="1" x14ac:dyDescent="0.45">
      <c r="B19" s="185" t="s">
        <v>175</v>
      </c>
      <c r="C19" s="185"/>
      <c r="D19" s="59">
        <v>1500000</v>
      </c>
      <c r="E19" s="49" t="s">
        <v>176</v>
      </c>
      <c r="F19" s="50"/>
      <c r="G19" s="204"/>
      <c r="H19" s="205"/>
      <c r="I19" s="51" t="s">
        <v>8</v>
      </c>
      <c r="J19" s="51"/>
      <c r="K19" s="51" t="s">
        <v>177</v>
      </c>
      <c r="L19" s="52">
        <v>1</v>
      </c>
    </row>
    <row r="20" spans="2:12" ht="12.75" thickBot="1" x14ac:dyDescent="0.45"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</row>
    <row r="21" spans="2:12" ht="12.75" thickBot="1" x14ac:dyDescent="0.45">
      <c r="B21" s="186" t="s">
        <v>178</v>
      </c>
      <c r="C21" s="187"/>
      <c r="D21" s="55"/>
      <c r="E21" s="54"/>
      <c r="F21" s="54"/>
      <c r="G21" s="54"/>
      <c r="H21" s="54"/>
      <c r="I21" s="54"/>
      <c r="J21" s="54"/>
      <c r="K21" s="54"/>
      <c r="L21" s="56"/>
    </row>
  </sheetData>
  <mergeCells count="34">
    <mergeCell ref="B19:C19"/>
    <mergeCell ref="B21:C21"/>
    <mergeCell ref="J6:L6"/>
    <mergeCell ref="J7:L7"/>
    <mergeCell ref="J8:L8"/>
    <mergeCell ref="J9:L9"/>
    <mergeCell ref="J10:L10"/>
    <mergeCell ref="J11:L11"/>
    <mergeCell ref="J12:L12"/>
    <mergeCell ref="J14:L14"/>
    <mergeCell ref="H11:I11"/>
    <mergeCell ref="G12:I12"/>
    <mergeCell ref="G13:L13"/>
    <mergeCell ref="G14:I14"/>
    <mergeCell ref="G15:I15"/>
    <mergeCell ref="G16:H19"/>
    <mergeCell ref="I16:K16"/>
    <mergeCell ref="J15:L15"/>
    <mergeCell ref="B6:C6"/>
    <mergeCell ref="G6:G8"/>
    <mergeCell ref="H6:I6"/>
    <mergeCell ref="B7:C7"/>
    <mergeCell ref="H7:I7"/>
    <mergeCell ref="B8:B18"/>
    <mergeCell ref="H8:I8"/>
    <mergeCell ref="G9:G11"/>
    <mergeCell ref="H9:I9"/>
    <mergeCell ref="H10:I10"/>
    <mergeCell ref="B2:L2"/>
    <mergeCell ref="B3:C3"/>
    <mergeCell ref="B4:C4"/>
    <mergeCell ref="B5:D5"/>
    <mergeCell ref="E5:F5"/>
    <mergeCell ref="G5:L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P35"/>
  <sheetViews>
    <sheetView showGridLines="0" zoomScale="115" zoomScaleNormal="115" workbookViewId="0">
      <selection activeCell="K11" sqref="K11:M12"/>
    </sheetView>
  </sheetViews>
  <sheetFormatPr defaultColWidth="5.125" defaultRowHeight="9.75" x14ac:dyDescent="0.4"/>
  <cols>
    <col min="1" max="2" width="2.375" style="10" customWidth="1"/>
    <col min="3" max="15" width="5.125" style="10"/>
    <col min="16" max="16" width="5.375" style="10" customWidth="1"/>
    <col min="17" max="18" width="2.375" style="10" customWidth="1"/>
    <col min="19" max="16384" width="5.125" style="10"/>
  </cols>
  <sheetData>
    <row r="1" spans="3:16" s="8" customFormat="1" ht="16.5" x14ac:dyDescent="0.4"/>
    <row r="2" spans="3:16" s="8" customFormat="1" ht="18" x14ac:dyDescent="0.4">
      <c r="E2" s="8" t="s">
        <v>86</v>
      </c>
      <c r="G2" s="9" t="s">
        <v>87</v>
      </c>
    </row>
    <row r="4" spans="3:16" x14ac:dyDescent="0.4">
      <c r="C4" s="17"/>
      <c r="D4" s="18"/>
      <c r="E4" s="11" t="s">
        <v>90</v>
      </c>
      <c r="F4" s="208"/>
      <c r="G4" s="208"/>
      <c r="H4" s="208"/>
      <c r="I4" s="208"/>
      <c r="J4" s="208"/>
      <c r="K4" s="208"/>
    </row>
    <row r="5" spans="3:16" x14ac:dyDescent="0.4">
      <c r="C5" s="214" t="s">
        <v>88</v>
      </c>
      <c r="D5" s="215"/>
      <c r="E5" s="12" t="s">
        <v>91</v>
      </c>
      <c r="F5" s="209"/>
      <c r="G5" s="209"/>
      <c r="H5" s="209"/>
      <c r="I5" s="209"/>
      <c r="J5" s="209"/>
      <c r="K5" s="209"/>
    </row>
    <row r="6" spans="3:16" ht="9.75" customHeight="1" x14ac:dyDescent="0.4">
      <c r="C6" s="19"/>
      <c r="D6" s="20"/>
      <c r="E6" s="12" t="s">
        <v>92</v>
      </c>
      <c r="F6" s="209"/>
      <c r="G6" s="209"/>
      <c r="H6" s="209"/>
      <c r="I6" s="209"/>
      <c r="J6" s="209"/>
      <c r="K6" s="209"/>
    </row>
    <row r="7" spans="3:16" x14ac:dyDescent="0.4">
      <c r="C7" s="214"/>
      <c r="D7" s="215"/>
      <c r="E7" s="12" t="s">
        <v>93</v>
      </c>
      <c r="F7" s="209"/>
      <c r="G7" s="209"/>
      <c r="H7" s="209"/>
      <c r="I7" s="209"/>
      <c r="J7" s="209"/>
      <c r="K7" s="209"/>
      <c r="L7" s="14" t="s">
        <v>95</v>
      </c>
      <c r="M7" s="208" t="s">
        <v>98</v>
      </c>
      <c r="N7" s="208"/>
      <c r="O7" s="208"/>
      <c r="P7" s="208"/>
    </row>
    <row r="8" spans="3:16" x14ac:dyDescent="0.4">
      <c r="C8" s="214" t="s">
        <v>89</v>
      </c>
      <c r="D8" s="215"/>
      <c r="E8" s="12" t="s">
        <v>94</v>
      </c>
      <c r="F8" s="209"/>
      <c r="G8" s="209"/>
      <c r="H8" s="209"/>
      <c r="I8" s="209"/>
      <c r="J8" s="209"/>
      <c r="K8" s="209"/>
      <c r="L8" s="15"/>
      <c r="M8" s="211" t="s">
        <v>97</v>
      </c>
      <c r="N8" s="211"/>
      <c r="O8" s="211"/>
      <c r="P8" s="211"/>
    </row>
    <row r="9" spans="3:16" x14ac:dyDescent="0.4">
      <c r="C9" s="21"/>
      <c r="D9" s="22"/>
      <c r="E9" s="13" t="s">
        <v>91</v>
      </c>
      <c r="F9" s="210"/>
      <c r="G9" s="210"/>
      <c r="H9" s="210"/>
      <c r="I9" s="210"/>
      <c r="J9" s="210"/>
      <c r="K9" s="210"/>
      <c r="L9" s="16" t="s">
        <v>96</v>
      </c>
      <c r="M9" s="212"/>
      <c r="N9" s="212"/>
      <c r="O9" s="212"/>
      <c r="P9" s="212"/>
    </row>
    <row r="10" spans="3:16" ht="9.75" customHeight="1" x14ac:dyDescent="0.4">
      <c r="C10" s="213" t="s">
        <v>99</v>
      </c>
      <c r="D10" s="213"/>
      <c r="E10" s="213" t="s">
        <v>102</v>
      </c>
      <c r="F10" s="213"/>
      <c r="G10" s="213"/>
      <c r="H10" s="213" t="s">
        <v>103</v>
      </c>
      <c r="I10" s="213"/>
      <c r="J10" s="213"/>
      <c r="K10" s="213" t="s">
        <v>104</v>
      </c>
      <c r="L10" s="213"/>
      <c r="M10" s="213"/>
      <c r="N10" s="213" t="s">
        <v>105</v>
      </c>
      <c r="O10" s="213"/>
      <c r="P10" s="213"/>
    </row>
    <row r="11" spans="3:16" x14ac:dyDescent="0.4">
      <c r="C11" s="213" t="s">
        <v>100</v>
      </c>
      <c r="D11" s="213"/>
      <c r="E11" s="217">
        <v>4800000</v>
      </c>
      <c r="F11" s="218"/>
      <c r="G11" s="218"/>
      <c r="H11" s="220">
        <v>3300000</v>
      </c>
      <c r="I11" s="221"/>
      <c r="J11" s="221"/>
      <c r="K11" s="220">
        <v>1359000</v>
      </c>
      <c r="L11" s="221"/>
      <c r="M11" s="221"/>
      <c r="N11" s="220">
        <v>99000</v>
      </c>
      <c r="O11" s="221"/>
      <c r="P11" s="221"/>
    </row>
    <row r="12" spans="3:16" x14ac:dyDescent="0.4">
      <c r="C12" s="216" t="s">
        <v>101</v>
      </c>
      <c r="D12" s="216"/>
      <c r="E12" s="219"/>
      <c r="F12" s="219"/>
      <c r="G12" s="219"/>
      <c r="H12" s="222"/>
      <c r="I12" s="222"/>
      <c r="J12" s="222"/>
      <c r="K12" s="222"/>
      <c r="L12" s="222"/>
      <c r="M12" s="222"/>
      <c r="N12" s="222"/>
      <c r="O12" s="222"/>
      <c r="P12" s="222"/>
    </row>
    <row r="13" spans="3:16" x14ac:dyDescent="0.4">
      <c r="C13" s="223" t="s">
        <v>117</v>
      </c>
      <c r="D13" s="223"/>
      <c r="E13" s="223"/>
      <c r="F13" s="207" t="s">
        <v>106</v>
      </c>
      <c r="G13" s="207"/>
      <c r="H13" s="223" t="s">
        <v>108</v>
      </c>
      <c r="I13" s="223"/>
      <c r="J13" s="223"/>
      <c r="K13" s="223"/>
      <c r="L13" s="11" t="s">
        <v>109</v>
      </c>
      <c r="M13" s="223" t="s">
        <v>111</v>
      </c>
      <c r="N13" s="223"/>
      <c r="O13" s="223"/>
      <c r="P13" s="11" t="s">
        <v>113</v>
      </c>
    </row>
    <row r="14" spans="3:16" x14ac:dyDescent="0.4">
      <c r="C14" s="206" t="s">
        <v>123</v>
      </c>
      <c r="D14" s="206"/>
      <c r="E14" s="206"/>
      <c r="F14" s="211"/>
      <c r="G14" s="211"/>
      <c r="H14" s="212" t="s">
        <v>122</v>
      </c>
      <c r="I14" s="212"/>
      <c r="J14" s="212"/>
      <c r="K14" s="212"/>
      <c r="L14" s="12" t="s">
        <v>110</v>
      </c>
      <c r="M14" s="212" t="s">
        <v>112</v>
      </c>
      <c r="N14" s="212"/>
      <c r="O14" s="212"/>
      <c r="P14" s="13" t="s">
        <v>114</v>
      </c>
    </row>
    <row r="15" spans="3:16" x14ac:dyDescent="0.4">
      <c r="C15" s="25" t="s">
        <v>118</v>
      </c>
      <c r="D15" s="25" t="s">
        <v>119</v>
      </c>
      <c r="E15" s="25" t="s">
        <v>8</v>
      </c>
      <c r="F15" s="224" t="s">
        <v>107</v>
      </c>
      <c r="G15" s="224"/>
      <c r="H15" s="25" t="s">
        <v>7</v>
      </c>
      <c r="I15" s="226" t="s">
        <v>8</v>
      </c>
      <c r="J15" s="226"/>
      <c r="K15" s="25" t="s">
        <v>9</v>
      </c>
      <c r="L15" s="13" t="s">
        <v>116</v>
      </c>
      <c r="M15" s="226" t="s">
        <v>18</v>
      </c>
      <c r="N15" s="226"/>
      <c r="O15" s="25" t="s">
        <v>9</v>
      </c>
      <c r="P15" s="25" t="s">
        <v>115</v>
      </c>
    </row>
    <row r="16" spans="3:16" x14ac:dyDescent="0.4">
      <c r="C16" s="225"/>
      <c r="D16" s="225"/>
      <c r="E16" s="225"/>
      <c r="F16" s="251"/>
      <c r="G16" s="252"/>
      <c r="H16" s="225"/>
      <c r="I16" s="225"/>
      <c r="J16" s="225"/>
      <c r="K16" s="225">
        <v>1</v>
      </c>
      <c r="L16" s="225">
        <v>1</v>
      </c>
      <c r="M16" s="225"/>
      <c r="N16" s="225"/>
      <c r="O16" s="225"/>
      <c r="P16" s="225"/>
    </row>
    <row r="17" spans="3:16" x14ac:dyDescent="0.4">
      <c r="C17" s="225"/>
      <c r="D17" s="225"/>
      <c r="E17" s="225"/>
      <c r="F17" s="253"/>
      <c r="G17" s="254"/>
      <c r="H17" s="225"/>
      <c r="I17" s="225"/>
      <c r="J17" s="225"/>
      <c r="K17" s="225"/>
      <c r="L17" s="225"/>
      <c r="M17" s="225"/>
      <c r="N17" s="225"/>
      <c r="O17" s="225"/>
      <c r="P17" s="225"/>
    </row>
    <row r="18" spans="3:16" ht="9.75" customHeight="1" x14ac:dyDescent="0.4">
      <c r="C18" s="245" t="s">
        <v>20</v>
      </c>
      <c r="D18" s="246"/>
      <c r="E18" s="246"/>
      <c r="F18" s="247"/>
      <c r="G18" s="248" t="s">
        <v>120</v>
      </c>
      <c r="H18" s="249"/>
      <c r="I18" s="249"/>
      <c r="J18" s="250"/>
      <c r="K18" s="213" t="s">
        <v>21</v>
      </c>
      <c r="L18" s="213"/>
      <c r="M18" s="213"/>
      <c r="N18" s="213" t="s">
        <v>121</v>
      </c>
      <c r="O18" s="213"/>
      <c r="P18" s="213"/>
    </row>
    <row r="19" spans="3:16" x14ac:dyDescent="0.4">
      <c r="C19" s="227">
        <v>560000</v>
      </c>
      <c r="D19" s="228"/>
      <c r="E19" s="228"/>
      <c r="F19" s="229"/>
      <c r="G19" s="220">
        <v>27000</v>
      </c>
      <c r="H19" s="221"/>
      <c r="I19" s="221"/>
      <c r="J19" s="221"/>
      <c r="K19" s="220">
        <v>12000</v>
      </c>
      <c r="L19" s="221"/>
      <c r="M19" s="221"/>
      <c r="N19" s="221"/>
      <c r="O19" s="221"/>
      <c r="P19" s="221"/>
    </row>
    <row r="20" spans="3:16" x14ac:dyDescent="0.4">
      <c r="C20" s="230"/>
      <c r="D20" s="228"/>
      <c r="E20" s="228"/>
      <c r="F20" s="229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3:16" x14ac:dyDescent="0.4"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8"/>
    </row>
    <row r="22" spans="3:16" x14ac:dyDescent="0.4">
      <c r="C22" s="2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3:16" x14ac:dyDescent="0.4">
      <c r="C23" s="11" t="s">
        <v>124</v>
      </c>
      <c r="D23" s="11" t="s">
        <v>23</v>
      </c>
      <c r="E23" s="235">
        <v>12000</v>
      </c>
      <c r="F23" s="236"/>
      <c r="G23" s="11" t="s">
        <v>24</v>
      </c>
      <c r="H23" s="241"/>
      <c r="I23" s="11" t="s">
        <v>25</v>
      </c>
      <c r="J23" s="244">
        <v>10000</v>
      </c>
      <c r="K23" s="241"/>
      <c r="L23" s="11" t="s">
        <v>50</v>
      </c>
      <c r="M23" s="241"/>
      <c r="N23" s="241"/>
      <c r="O23" s="11" t="s">
        <v>51</v>
      </c>
      <c r="P23" s="220">
        <v>5000</v>
      </c>
    </row>
    <row r="24" spans="3:16" x14ac:dyDescent="0.4">
      <c r="C24" s="12" t="s">
        <v>125</v>
      </c>
      <c r="D24" s="12" t="s">
        <v>127</v>
      </c>
      <c r="E24" s="237"/>
      <c r="F24" s="238"/>
      <c r="G24" s="12" t="s">
        <v>127</v>
      </c>
      <c r="H24" s="242"/>
      <c r="I24" s="12" t="s">
        <v>127</v>
      </c>
      <c r="J24" s="242"/>
      <c r="K24" s="242"/>
      <c r="L24" s="12" t="s">
        <v>129</v>
      </c>
      <c r="M24" s="242"/>
      <c r="N24" s="242"/>
      <c r="O24" s="12" t="s">
        <v>129</v>
      </c>
      <c r="P24" s="231"/>
    </row>
    <row r="25" spans="3:16" x14ac:dyDescent="0.4">
      <c r="C25" s="13" t="s">
        <v>126</v>
      </c>
      <c r="D25" s="13" t="s">
        <v>128</v>
      </c>
      <c r="E25" s="239"/>
      <c r="F25" s="240"/>
      <c r="G25" s="13" t="s">
        <v>128</v>
      </c>
      <c r="H25" s="243"/>
      <c r="I25" s="13" t="s">
        <v>128</v>
      </c>
      <c r="J25" s="243"/>
      <c r="K25" s="243"/>
      <c r="L25" s="13" t="s">
        <v>125</v>
      </c>
      <c r="M25" s="243"/>
      <c r="N25" s="243"/>
      <c r="O25" s="13" t="s">
        <v>125</v>
      </c>
      <c r="P25" s="222"/>
    </row>
    <row r="26" spans="3:16" x14ac:dyDescent="0.4">
      <c r="C26" s="1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8"/>
    </row>
    <row r="27" spans="3:16" x14ac:dyDescent="0.4"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3:16" x14ac:dyDescent="0.4">
      <c r="C28" s="223" t="s">
        <v>130</v>
      </c>
      <c r="D28" s="223"/>
      <c r="E28" s="26" t="s">
        <v>132</v>
      </c>
      <c r="F28" s="233"/>
      <c r="G28" s="233"/>
      <c r="H28" s="233"/>
      <c r="I28" s="11" t="s">
        <v>53</v>
      </c>
      <c r="J28" s="223"/>
      <c r="K28" s="223"/>
      <c r="L28" s="11" t="s">
        <v>138</v>
      </c>
      <c r="M28" s="223"/>
      <c r="N28" s="223"/>
      <c r="O28" s="11" t="s">
        <v>136</v>
      </c>
      <c r="P28" s="208"/>
    </row>
    <row r="29" spans="3:16" x14ac:dyDescent="0.4">
      <c r="C29" s="232" t="s">
        <v>131</v>
      </c>
      <c r="D29" s="232"/>
      <c r="E29" s="27" t="s">
        <v>133</v>
      </c>
      <c r="F29" s="234"/>
      <c r="G29" s="234"/>
      <c r="H29" s="234"/>
      <c r="I29" s="12" t="s">
        <v>134</v>
      </c>
      <c r="J29" s="211"/>
      <c r="K29" s="211"/>
      <c r="L29" s="12" t="s">
        <v>139</v>
      </c>
      <c r="M29" s="211"/>
      <c r="N29" s="211"/>
      <c r="O29" s="12" t="s">
        <v>137</v>
      </c>
      <c r="P29" s="209"/>
    </row>
    <row r="30" spans="3:16" x14ac:dyDescent="0.4">
      <c r="C30" s="216" t="s">
        <v>53</v>
      </c>
      <c r="D30" s="216"/>
      <c r="E30" s="225"/>
      <c r="F30" s="225"/>
      <c r="G30" s="225"/>
      <c r="H30" s="225"/>
      <c r="I30" s="13" t="s">
        <v>135</v>
      </c>
      <c r="J30" s="212"/>
      <c r="K30" s="212"/>
      <c r="L30" s="13" t="s">
        <v>128</v>
      </c>
      <c r="M30" s="212"/>
      <c r="N30" s="212"/>
      <c r="O30" s="13" t="s">
        <v>125</v>
      </c>
      <c r="P30" s="210"/>
    </row>
    <row r="31" spans="3:16" x14ac:dyDescent="0.4">
      <c r="C31" s="1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8"/>
    </row>
    <row r="32" spans="3:16" x14ac:dyDescent="0.4">
      <c r="C32" s="2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3:13" x14ac:dyDescent="0.4">
      <c r="C33" s="226" t="s">
        <v>140</v>
      </c>
      <c r="D33" s="226" t="s">
        <v>141</v>
      </c>
      <c r="E33" s="226" t="s">
        <v>142</v>
      </c>
      <c r="F33" s="226" t="s">
        <v>144</v>
      </c>
      <c r="G33" s="226" t="s">
        <v>143</v>
      </c>
      <c r="H33" s="226" t="s">
        <v>145</v>
      </c>
      <c r="I33" s="226"/>
      <c r="J33" s="226" t="s">
        <v>30</v>
      </c>
      <c r="K33" s="226"/>
      <c r="L33" s="226" t="s">
        <v>6</v>
      </c>
      <c r="M33" s="226" t="s">
        <v>12</v>
      </c>
    </row>
    <row r="34" spans="3:13" x14ac:dyDescent="0.4">
      <c r="C34" s="226"/>
      <c r="D34" s="226"/>
      <c r="E34" s="226"/>
      <c r="F34" s="226"/>
      <c r="G34" s="226"/>
      <c r="H34" s="25" t="s">
        <v>18</v>
      </c>
      <c r="I34" s="25" t="s">
        <v>9</v>
      </c>
      <c r="J34" s="25" t="s">
        <v>31</v>
      </c>
      <c r="K34" s="25" t="s">
        <v>18</v>
      </c>
      <c r="L34" s="226"/>
      <c r="M34" s="226"/>
    </row>
    <row r="35" spans="3:13" x14ac:dyDescent="0.4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 sheet="1" objects="1" scenarios="1" selectLockedCells="1"/>
  <mergeCells count="72">
    <mergeCell ref="M33:M34"/>
    <mergeCell ref="C18:F18"/>
    <mergeCell ref="G18:J18"/>
    <mergeCell ref="D16:D17"/>
    <mergeCell ref="E16:E17"/>
    <mergeCell ref="H16:H17"/>
    <mergeCell ref="I16:I17"/>
    <mergeCell ref="L33:L34"/>
    <mergeCell ref="J33:K33"/>
    <mergeCell ref="G33:G34"/>
    <mergeCell ref="C33:C34"/>
    <mergeCell ref="D33:D34"/>
    <mergeCell ref="E33:E34"/>
    <mergeCell ref="F33:F34"/>
    <mergeCell ref="H33:I33"/>
    <mergeCell ref="F16:G17"/>
    <mergeCell ref="P23:P25"/>
    <mergeCell ref="C28:D28"/>
    <mergeCell ref="C29:D29"/>
    <mergeCell ref="C30:D30"/>
    <mergeCell ref="F28:H28"/>
    <mergeCell ref="F29:H29"/>
    <mergeCell ref="E30:H30"/>
    <mergeCell ref="P28:P30"/>
    <mergeCell ref="M28:N30"/>
    <mergeCell ref="J28:K30"/>
    <mergeCell ref="E23:F25"/>
    <mergeCell ref="H23:H25"/>
    <mergeCell ref="J23:K25"/>
    <mergeCell ref="M23:N25"/>
    <mergeCell ref="C19:F20"/>
    <mergeCell ref="C16:C17"/>
    <mergeCell ref="L16:L17"/>
    <mergeCell ref="M16:M17"/>
    <mergeCell ref="N16:N17"/>
    <mergeCell ref="C13:E13"/>
    <mergeCell ref="F14:G14"/>
    <mergeCell ref="F15:G15"/>
    <mergeCell ref="M14:O14"/>
    <mergeCell ref="N19:P20"/>
    <mergeCell ref="K19:M20"/>
    <mergeCell ref="G19:J20"/>
    <mergeCell ref="P16:P17"/>
    <mergeCell ref="O16:O17"/>
    <mergeCell ref="N18:P18"/>
    <mergeCell ref="K18:M18"/>
    <mergeCell ref="H14:K14"/>
    <mergeCell ref="M15:N15"/>
    <mergeCell ref="I15:J15"/>
    <mergeCell ref="J16:J17"/>
    <mergeCell ref="K16:K17"/>
    <mergeCell ref="H11:J12"/>
    <mergeCell ref="K11:M12"/>
    <mergeCell ref="N11:P12"/>
    <mergeCell ref="H13:K13"/>
    <mergeCell ref="M13:O13"/>
    <mergeCell ref="C14:E14"/>
    <mergeCell ref="F13:G13"/>
    <mergeCell ref="F4:K9"/>
    <mergeCell ref="M8:P9"/>
    <mergeCell ref="M7:P7"/>
    <mergeCell ref="C10:D10"/>
    <mergeCell ref="C11:D11"/>
    <mergeCell ref="C5:D5"/>
    <mergeCell ref="C7:D7"/>
    <mergeCell ref="C8:D8"/>
    <mergeCell ref="C12:D12"/>
    <mergeCell ref="E10:G10"/>
    <mergeCell ref="H10:J10"/>
    <mergeCell ref="K10:M10"/>
    <mergeCell ref="N10:P10"/>
    <mergeCell ref="E11:G12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補助額試算表</vt:lpstr>
      <vt:lpstr>入力例</vt:lpstr>
      <vt:lpstr>課税証明書</vt:lpstr>
      <vt:lpstr>源泉徴収票</vt:lpstr>
      <vt:lpstr>入力例!Print_Area</vt:lpstr>
      <vt:lpstr>補助額試算表!Print_Area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2022-06-23T00:52:52Z</cp:lastPrinted>
  <dcterms:created xsi:type="dcterms:W3CDTF">2020-03-06T01:45:27Z</dcterms:created>
  <dcterms:modified xsi:type="dcterms:W3CDTF">2022-06-27T09:32:14Z</dcterms:modified>
</cp:coreProperties>
</file>