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UV+Qm+cbOsANDf/4hKpA5Q+/CB7YK3YY4KCeOFlRMvh1QuTKz6aKTo7E4ixsva+LygxwBQPnD3XaluU6FMhpRA==" workbookSaltValue="rZ6WaRzTgb2AjMaonv+Enw==" workbookSpinCount="100000" lockStructure="1"/>
  <bookViews>
    <workbookView xWindow="-105" yWindow="-105" windowWidth="20730" windowHeight="11760" firstSheet="1" activeTab="1"/>
  </bookViews>
  <sheets>
    <sheet name="【入力】暑さ対策計算シート (2)" sheetId="16" state="hidden" r:id="rId1"/>
    <sheet name="様式１３号① 事業実績書" sheetId="21" r:id="rId2"/>
    <sheet name="様式１３号② 事業内容" sheetId="22" r:id="rId3"/>
    <sheet name="様式１３号③　資金計画" sheetId="25" r:id="rId4"/>
    <sheet name="入力" sheetId="3" r:id="rId5"/>
    <sheet name="結果" sheetId="6" r:id="rId6"/>
    <sheet name="原油換算" sheetId="37" r:id="rId7"/>
    <sheet name="区域" sheetId="17" state="hidden" r:id="rId8"/>
    <sheet name="暑さ対策の提案について" sheetId="12" state="hidden" r:id="rId9"/>
    <sheet name="実効温度差（ETD)諸言" sheetId="7" state="hidden" r:id="rId10"/>
    <sheet name="熱負荷計算シート (2)" sheetId="19" state="hidden" r:id="rId11"/>
    <sheet name="熱貫流率計算" sheetId="11" state="hidden" r:id="rId12"/>
    <sheet name="外壁実効温度差（ETD)一覧表" sheetId="8" state="hidden" r:id="rId13"/>
    <sheet name="標準日射取得量1" sheetId="9" state="hidden" r:id="rId14"/>
    <sheet name="温度条件他根拠" sheetId="14" state="hidden" r:id="rId15"/>
    <sheet name="さいたま市" sheetId="41" state="hidden" r:id="rId16"/>
    <sheet name="さいたま市屋根" sheetId="28" state="hidden" r:id="rId17"/>
    <sheet name="さいたま市外壁" sheetId="31" state="hidden" r:id="rId18"/>
    <sheet name="さいたま市窓断熱" sheetId="32" state="hidden" r:id="rId19"/>
    <sheet name="さいたま市窓遮熱" sheetId="38" state="hidden" r:id="rId20"/>
    <sheet name="熊谷市" sheetId="4" state="hidden" r:id="rId21"/>
    <sheet name="熊谷市屋根" sheetId="29" state="hidden" r:id="rId22"/>
    <sheet name="熊谷市外壁" sheetId="33" state="hidden" r:id="rId23"/>
    <sheet name="熊谷市窓断熱" sheetId="34" state="hidden" r:id="rId24"/>
    <sheet name="熊谷市窓遮熱" sheetId="39" state="hidden" r:id="rId25"/>
    <sheet name="秩父市" sheetId="5" state="hidden" r:id="rId26"/>
    <sheet name="秩父市屋根" sheetId="30" state="hidden" r:id="rId27"/>
    <sheet name="秩父市外壁" sheetId="35" state="hidden" r:id="rId28"/>
    <sheet name="秩父市窓断熱" sheetId="36" state="hidden" r:id="rId29"/>
    <sheet name="秩父市窓遮熱" sheetId="40" state="hidden" r:id="rId30"/>
    <sheet name="【根拠】日射係数" sheetId="13" state="hidden" r:id="rId31"/>
  </sheets>
  <externalReferences>
    <externalReference r:id="rId32"/>
  </externalReferences>
  <definedNames>
    <definedName name="inv補正COP">[1]空調導入前算定!$BB$29:$BM$53</definedName>
    <definedName name="_xlnm.Print_Area" localSheetId="30">【根拠】日射係数!$A$1:$P$36</definedName>
    <definedName name="_xlnm.Print_Area" localSheetId="0">'【入力】暑さ対策計算シート (2)'!$A$1:$K$119</definedName>
    <definedName name="_xlnm.Print_Area" localSheetId="15">さいたま市!$A$1:$P$41</definedName>
    <definedName name="_xlnm.Print_Area" localSheetId="16">さいたま市屋根!$A$1:$P$41</definedName>
    <definedName name="_xlnm.Print_Area" localSheetId="17">さいたま市外壁!$A$1:$P$41</definedName>
    <definedName name="_xlnm.Print_Area" localSheetId="19">さいたま市窓遮熱!$A$1:$P$41</definedName>
    <definedName name="_xlnm.Print_Area" localSheetId="18">さいたま市窓断熱!$A$1:$P$41</definedName>
    <definedName name="_xlnm.Print_Area" localSheetId="14">温度条件他根拠!$A$1:$I$58</definedName>
    <definedName name="_xlnm.Print_Area" localSheetId="12">'外壁実効温度差（ETD)一覧表'!$A$1:$AA$73</definedName>
    <definedName name="_xlnm.Print_Area" localSheetId="20">熊谷市!$A$1:$P$41</definedName>
    <definedName name="_xlnm.Print_Area" localSheetId="21">熊谷市屋根!$A$1:$P$41</definedName>
    <definedName name="_xlnm.Print_Area" localSheetId="22">熊谷市外壁!$A$1:$P$41</definedName>
    <definedName name="_xlnm.Print_Area" localSheetId="24">熊谷市窓遮熱!$A$1:$P$41</definedName>
    <definedName name="_xlnm.Print_Area" localSheetId="23">熊谷市窓断熱!$A$1:$P$41</definedName>
    <definedName name="_xlnm.Print_Area" localSheetId="5">結果!$A$1:$Q$117</definedName>
    <definedName name="_xlnm.Print_Area" localSheetId="9">'実効温度差（ETD)諸言'!$A$1:$K$58</definedName>
    <definedName name="_xlnm.Print_Area" localSheetId="8">暑さ対策の提案について!$A$1:$K$154</definedName>
    <definedName name="_xlnm.Print_Area" localSheetId="25">秩父市!$A$1:$P$41</definedName>
    <definedName name="_xlnm.Print_Area" localSheetId="26">秩父市屋根!$A$1:$P$41</definedName>
    <definedName name="_xlnm.Print_Area" localSheetId="27">秩父市外壁!$A$1:$P$41</definedName>
    <definedName name="_xlnm.Print_Area" localSheetId="29">秩父市窓遮熱!$A$1:$P$41</definedName>
    <definedName name="_xlnm.Print_Area" localSheetId="28">秩父市窓断熱!$A$1:$P$41</definedName>
    <definedName name="_xlnm.Print_Area" localSheetId="4">入力!$A$1:$L$121</definedName>
    <definedName name="_xlnm.Print_Area" localSheetId="11">熱貫流率計算!$A$1:$J$84</definedName>
    <definedName name="_xlnm.Print_Area" localSheetId="10">'熱負荷計算シート (2)'!$A$1:$O$87</definedName>
    <definedName name="_xlnm.Print_Area" localSheetId="13">標準日射取得量1!$A$1:$U$20</definedName>
    <definedName name="_xlnm.Print_Area" localSheetId="1">'様式１３号① 事業実績書'!$A$1:$AH$40</definedName>
    <definedName name="_xlnm.Print_Area" localSheetId="2">'様式１３号② 事業内容'!$A$1:$AH$43</definedName>
    <definedName name="_xlnm.Print_Area" localSheetId="3">'様式１３号③　資金計画'!$A$2:$AJ$53</definedName>
    <definedName name="大分類">[1]事業実施者・事業内容!$A$97:$R$97</definedName>
  </definedNames>
  <calcPr calcId="162913"/>
</workbook>
</file>

<file path=xl/calcChain.xml><?xml version="1.0" encoding="utf-8"?>
<calcChain xmlns="http://schemas.openxmlformats.org/spreadsheetml/2006/main">
  <c r="C1" i="30" l="1"/>
  <c r="C1" i="29"/>
  <c r="D1" i="28"/>
  <c r="V17" i="41"/>
  <c r="G17" i="41"/>
  <c r="V16" i="41"/>
  <c r="G16" i="41"/>
  <c r="V15" i="41"/>
  <c r="U15" i="41"/>
  <c r="G15" i="41"/>
  <c r="F15" i="41"/>
  <c r="U14" i="41"/>
  <c r="F14" i="41"/>
  <c r="U13" i="41"/>
  <c r="F13" i="41"/>
  <c r="U12" i="41"/>
  <c r="F12" i="41"/>
  <c r="U11" i="41"/>
  <c r="F11" i="41"/>
  <c r="V10" i="41"/>
  <c r="U10" i="41"/>
  <c r="G10" i="41"/>
  <c r="F10" i="41"/>
  <c r="V9" i="41"/>
  <c r="G9" i="41"/>
  <c r="V8" i="41"/>
  <c r="G8" i="41"/>
  <c r="V7" i="41"/>
  <c r="G7" i="41"/>
  <c r="V6" i="41"/>
  <c r="G6" i="41"/>
  <c r="B1" i="41"/>
  <c r="M153" i="6" l="1"/>
  <c r="Q157" i="6" s="1"/>
  <c r="N49" i="3"/>
  <c r="O49" i="3"/>
  <c r="E55" i="6" s="1"/>
  <c r="E95" i="6" s="1"/>
  <c r="N50" i="3"/>
  <c r="O50" i="3"/>
  <c r="E56" i="6" s="1"/>
  <c r="E96" i="6" s="1"/>
  <c r="N51" i="3"/>
  <c r="O51" i="3"/>
  <c r="E57" i="6" s="1"/>
  <c r="E97" i="6" s="1"/>
  <c r="N52" i="3"/>
  <c r="O52" i="3"/>
  <c r="E58" i="6" s="1"/>
  <c r="E98" i="6" s="1"/>
  <c r="N53" i="3"/>
  <c r="O53" i="3"/>
  <c r="E59" i="6" s="1"/>
  <c r="E99" i="6" s="1"/>
  <c r="N54" i="3"/>
  <c r="O54" i="3"/>
  <c r="E60" i="6" s="1"/>
  <c r="E100" i="6" s="1"/>
  <c r="N55" i="3"/>
  <c r="O55" i="3"/>
  <c r="E61" i="6" s="1"/>
  <c r="E101" i="6" s="1"/>
  <c r="O48" i="3"/>
  <c r="E54" i="6" s="1"/>
  <c r="E94" i="6" s="1"/>
  <c r="N48" i="3"/>
  <c r="V17" i="40"/>
  <c r="G17" i="40"/>
  <c r="V16" i="40"/>
  <c r="G16" i="40"/>
  <c r="V15" i="40"/>
  <c r="U15" i="40"/>
  <c r="G15" i="40"/>
  <c r="F15" i="40"/>
  <c r="U14" i="40"/>
  <c r="F14" i="40"/>
  <c r="U13" i="40"/>
  <c r="F13" i="40"/>
  <c r="U12" i="40"/>
  <c r="F12" i="40"/>
  <c r="U11" i="40"/>
  <c r="F11" i="40"/>
  <c r="V10" i="40"/>
  <c r="U10" i="40"/>
  <c r="G10" i="40"/>
  <c r="F10" i="40"/>
  <c r="V9" i="40"/>
  <c r="G9" i="40"/>
  <c r="V8" i="40"/>
  <c r="G8" i="40"/>
  <c r="V7" i="40"/>
  <c r="G7" i="40"/>
  <c r="V6" i="40"/>
  <c r="G6" i="40"/>
  <c r="C1" i="40"/>
  <c r="B1" i="40"/>
  <c r="C1" i="36"/>
  <c r="C1" i="35"/>
  <c r="D1" i="31"/>
  <c r="D1" i="32"/>
  <c r="D1" i="38"/>
  <c r="C1" i="33"/>
  <c r="C1" i="39"/>
  <c r="C1" i="34"/>
  <c r="V17" i="39" l="1"/>
  <c r="G17" i="39"/>
  <c r="V16" i="39"/>
  <c r="G16" i="39"/>
  <c r="V15" i="39"/>
  <c r="U15" i="39"/>
  <c r="G15" i="39"/>
  <c r="F15" i="39"/>
  <c r="U14" i="39"/>
  <c r="F14" i="39"/>
  <c r="U13" i="39"/>
  <c r="F13" i="39"/>
  <c r="U12" i="39"/>
  <c r="F12" i="39"/>
  <c r="U11" i="39"/>
  <c r="F11" i="39"/>
  <c r="V10" i="39"/>
  <c r="U10" i="39"/>
  <c r="G10" i="39"/>
  <c r="F10" i="39"/>
  <c r="V9" i="39"/>
  <c r="G9" i="39"/>
  <c r="V8" i="39"/>
  <c r="G8" i="39"/>
  <c r="V7" i="39"/>
  <c r="G7" i="39"/>
  <c r="V6" i="39"/>
  <c r="G6" i="39"/>
  <c r="B1" i="39"/>
  <c r="V17" i="38"/>
  <c r="G17" i="38"/>
  <c r="V16" i="38"/>
  <c r="G16" i="38"/>
  <c r="V15" i="38"/>
  <c r="U15" i="38"/>
  <c r="G15" i="38"/>
  <c r="F15" i="38"/>
  <c r="U14" i="38"/>
  <c r="F14" i="38"/>
  <c r="U13" i="38"/>
  <c r="F13" i="38"/>
  <c r="U12" i="38"/>
  <c r="F12" i="38"/>
  <c r="U11" i="38"/>
  <c r="F11" i="38"/>
  <c r="V10" i="38"/>
  <c r="U10" i="38"/>
  <c r="G10" i="38"/>
  <c r="F10" i="38"/>
  <c r="V9" i="38"/>
  <c r="G9" i="38"/>
  <c r="V8" i="38"/>
  <c r="G8" i="38"/>
  <c r="V7" i="38"/>
  <c r="G7" i="38"/>
  <c r="V6" i="38"/>
  <c r="G6" i="38"/>
  <c r="B1" i="38"/>
  <c r="F10" i="36" l="1"/>
  <c r="E18" i="14"/>
  <c r="E17" i="14"/>
  <c r="T6" i="40" l="1"/>
  <c r="E6" i="40"/>
  <c r="T6" i="38"/>
  <c r="T7" i="38" s="1"/>
  <c r="T8" i="38" s="1"/>
  <c r="E6" i="38"/>
  <c r="E7" i="38" s="1"/>
  <c r="E8" i="38" s="1"/>
  <c r="E9" i="38" s="1"/>
  <c r="E10" i="38" s="1"/>
  <c r="E11" i="38" s="1"/>
  <c r="E12" i="38" s="1"/>
  <c r="E13" i="38" s="1"/>
  <c r="T6" i="39"/>
  <c r="T7" i="39" s="1"/>
  <c r="T8" i="39" s="1"/>
  <c r="E6" i="39"/>
  <c r="E7" i="39" s="1"/>
  <c r="E8" i="39" s="1"/>
  <c r="E9" i="39" s="1"/>
  <c r="E10" i="39" s="1"/>
  <c r="E11" i="39" s="1"/>
  <c r="E12" i="39" s="1"/>
  <c r="E13" i="39" s="1"/>
  <c r="E6" i="31"/>
  <c r="T6" i="36"/>
  <c r="T6" i="32"/>
  <c r="E6" i="41"/>
  <c r="T6" i="34"/>
  <c r="T6" i="41"/>
  <c r="E6" i="36"/>
  <c r="E6" i="34"/>
  <c r="E6" i="32"/>
  <c r="T9" i="39"/>
  <c r="T9" i="38"/>
  <c r="T17" i="25"/>
  <c r="T16" i="25"/>
  <c r="E7" i="40" l="1"/>
  <c r="E8" i="40" s="1"/>
  <c r="E9" i="40" s="1"/>
  <c r="E10" i="40" s="1"/>
  <c r="E11" i="40" s="1"/>
  <c r="E12" i="40" s="1"/>
  <c r="E13" i="40" s="1"/>
  <c r="E14" i="40" s="1"/>
  <c r="E15" i="40" s="1"/>
  <c r="E16" i="40" s="1"/>
  <c r="E17" i="40" s="1"/>
  <c r="E18" i="40"/>
  <c r="T7" i="40"/>
  <c r="T8" i="40" s="1"/>
  <c r="T9" i="40" s="1"/>
  <c r="T10" i="40" s="1"/>
  <c r="T11" i="40" s="1"/>
  <c r="T12" i="40" s="1"/>
  <c r="T13" i="40" s="1"/>
  <c r="T14" i="40" s="1"/>
  <c r="T15" i="40" s="1"/>
  <c r="T16" i="40" s="1"/>
  <c r="T17" i="40" s="1"/>
  <c r="T18" i="40"/>
  <c r="T7" i="41"/>
  <c r="T8" i="41" s="1"/>
  <c r="T9" i="41" s="1"/>
  <c r="T10" i="41" s="1"/>
  <c r="T11" i="41" s="1"/>
  <c r="T12" i="41" s="1"/>
  <c r="T13" i="41" s="1"/>
  <c r="T14" i="41" s="1"/>
  <c r="T15" i="41" s="1"/>
  <c r="T16" i="41" s="1"/>
  <c r="T17" i="41" s="1"/>
  <c r="E7" i="41"/>
  <c r="E8" i="41" s="1"/>
  <c r="E9" i="41" s="1"/>
  <c r="E10" i="41" s="1"/>
  <c r="E11" i="41" s="1"/>
  <c r="E12" i="41" s="1"/>
  <c r="E13" i="41" s="1"/>
  <c r="E14" i="41" s="1"/>
  <c r="E15" i="41" s="1"/>
  <c r="E16" i="41" s="1"/>
  <c r="E17" i="41" s="1"/>
  <c r="E14" i="39"/>
  <c r="T10" i="39"/>
  <c r="T10" i="38"/>
  <c r="E14" i="38"/>
  <c r="O16" i="37"/>
  <c r="N16" i="37"/>
  <c r="M16" i="37"/>
  <c r="L16" i="37"/>
  <c r="J16" i="37"/>
  <c r="N15" i="37"/>
  <c r="M15" i="37"/>
  <c r="O15" i="37" s="1"/>
  <c r="O13" i="37"/>
  <c r="N13" i="37"/>
  <c r="M13" i="37"/>
  <c r="L13" i="37"/>
  <c r="J13" i="37"/>
  <c r="O12" i="37"/>
  <c r="N12" i="37"/>
  <c r="M12" i="37"/>
  <c r="L12" i="37"/>
  <c r="J12" i="37"/>
  <c r="O11" i="37"/>
  <c r="N11" i="37"/>
  <c r="M11" i="37"/>
  <c r="L11" i="37"/>
  <c r="J11" i="37"/>
  <c r="O10" i="37"/>
  <c r="N10" i="37"/>
  <c r="M10" i="37"/>
  <c r="L10" i="37"/>
  <c r="J10" i="37"/>
  <c r="O9" i="37"/>
  <c r="N9" i="37"/>
  <c r="M9" i="37"/>
  <c r="L9" i="37"/>
  <c r="J9" i="37"/>
  <c r="O8" i="37"/>
  <c r="N8" i="37"/>
  <c r="M8" i="37"/>
  <c r="L8" i="37"/>
  <c r="J8" i="37"/>
  <c r="O7" i="37"/>
  <c r="O14" i="37" s="1"/>
  <c r="O17" i="37" s="1"/>
  <c r="X12" i="21" s="1"/>
  <c r="N7" i="37"/>
  <c r="M7" i="37"/>
  <c r="M14" i="37" s="1"/>
  <c r="M17" i="37" s="1"/>
  <c r="L12" i="21" s="1"/>
  <c r="L7" i="37"/>
  <c r="J7" i="37"/>
  <c r="J14" i="37" l="1"/>
  <c r="J17" i="37" s="1"/>
  <c r="E18" i="41"/>
  <c r="T18" i="41"/>
  <c r="T11" i="39"/>
  <c r="E15" i="39"/>
  <c r="E15" i="38"/>
  <c r="T11" i="38"/>
  <c r="N14" i="37"/>
  <c r="N17" i="37" s="1"/>
  <c r="R12" i="21" s="1"/>
  <c r="E41" i="6"/>
  <c r="E42" i="6"/>
  <c r="E43" i="6"/>
  <c r="E44" i="6"/>
  <c r="E45" i="6"/>
  <c r="E46" i="6"/>
  <c r="E47" i="6"/>
  <c r="E40" i="6"/>
  <c r="N41" i="3"/>
  <c r="E32" i="6" s="1"/>
  <c r="N42" i="3"/>
  <c r="E33" i="6" s="1"/>
  <c r="N43" i="3"/>
  <c r="E34" i="6" s="1"/>
  <c r="N44" i="3"/>
  <c r="E35" i="6" s="1"/>
  <c r="N45" i="3"/>
  <c r="E36" i="6" s="1"/>
  <c r="N46" i="3"/>
  <c r="E37" i="6" s="1"/>
  <c r="N47" i="3"/>
  <c r="E38" i="6" s="1"/>
  <c r="N40" i="3"/>
  <c r="E31" i="6" s="1"/>
  <c r="N39" i="3"/>
  <c r="E30" i="6" s="1"/>
  <c r="E16" i="39" l="1"/>
  <c r="T12" i="39"/>
  <c r="T12" i="38"/>
  <c r="E16" i="38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45" i="21"/>
  <c r="V17" i="36"/>
  <c r="G17" i="36"/>
  <c r="V16" i="36"/>
  <c r="G16" i="36"/>
  <c r="V15" i="36"/>
  <c r="U15" i="36"/>
  <c r="G15" i="36"/>
  <c r="F15" i="36"/>
  <c r="U14" i="36"/>
  <c r="F14" i="36"/>
  <c r="U13" i="36"/>
  <c r="F13" i="36"/>
  <c r="U12" i="36"/>
  <c r="F12" i="36"/>
  <c r="U11" i="36"/>
  <c r="F11" i="36"/>
  <c r="V10" i="36"/>
  <c r="U10" i="36"/>
  <c r="G10" i="36"/>
  <c r="V9" i="36"/>
  <c r="G9" i="36"/>
  <c r="V8" i="36"/>
  <c r="G8" i="36"/>
  <c r="V7" i="36"/>
  <c r="G7" i="36"/>
  <c r="V6" i="36"/>
  <c r="G6" i="36"/>
  <c r="B1" i="36"/>
  <c r="V17" i="35"/>
  <c r="G17" i="35"/>
  <c r="V16" i="35"/>
  <c r="G16" i="35"/>
  <c r="V15" i="35"/>
  <c r="U15" i="35"/>
  <c r="G15" i="35"/>
  <c r="F15" i="35"/>
  <c r="U14" i="35"/>
  <c r="F14" i="35"/>
  <c r="U13" i="35"/>
  <c r="F13" i="35"/>
  <c r="U12" i="35"/>
  <c r="F12" i="35"/>
  <c r="U11" i="35"/>
  <c r="F11" i="35"/>
  <c r="V10" i="35"/>
  <c r="U10" i="35"/>
  <c r="G10" i="35"/>
  <c r="F10" i="35"/>
  <c r="V9" i="35"/>
  <c r="G9" i="35"/>
  <c r="V8" i="35"/>
  <c r="G8" i="35"/>
  <c r="V7" i="35"/>
  <c r="G7" i="35"/>
  <c r="V6" i="35"/>
  <c r="G6" i="35"/>
  <c r="B1" i="35"/>
  <c r="V17" i="34"/>
  <c r="G17" i="34"/>
  <c r="V16" i="34"/>
  <c r="G16" i="34"/>
  <c r="V15" i="34"/>
  <c r="U15" i="34"/>
  <c r="G15" i="34"/>
  <c r="F15" i="34"/>
  <c r="U14" i="34"/>
  <c r="F14" i="34"/>
  <c r="U13" i="34"/>
  <c r="F13" i="34"/>
  <c r="U12" i="34"/>
  <c r="F12" i="34"/>
  <c r="U11" i="34"/>
  <c r="F11" i="34"/>
  <c r="V10" i="34"/>
  <c r="U10" i="34"/>
  <c r="G10" i="34"/>
  <c r="F10" i="34"/>
  <c r="V9" i="34"/>
  <c r="G9" i="34"/>
  <c r="V8" i="34"/>
  <c r="G8" i="34"/>
  <c r="V7" i="34"/>
  <c r="G7" i="34"/>
  <c r="V6" i="34"/>
  <c r="G6" i="34"/>
  <c r="B1" i="34"/>
  <c r="V17" i="33"/>
  <c r="G17" i="33"/>
  <c r="V16" i="33"/>
  <c r="G16" i="33"/>
  <c r="V15" i="33"/>
  <c r="U15" i="33"/>
  <c r="G15" i="33"/>
  <c r="F15" i="33"/>
  <c r="U14" i="33"/>
  <c r="F14" i="33"/>
  <c r="U13" i="33"/>
  <c r="F13" i="33"/>
  <c r="U12" i="33"/>
  <c r="F12" i="33"/>
  <c r="U11" i="33"/>
  <c r="F11" i="33"/>
  <c r="V10" i="33"/>
  <c r="U10" i="33"/>
  <c r="G10" i="33"/>
  <c r="F10" i="33"/>
  <c r="V9" i="33"/>
  <c r="G9" i="33"/>
  <c r="V8" i="33"/>
  <c r="G8" i="33"/>
  <c r="V7" i="33"/>
  <c r="G7" i="33"/>
  <c r="V6" i="33"/>
  <c r="G6" i="33"/>
  <c r="B1" i="33"/>
  <c r="V17" i="32"/>
  <c r="G17" i="32"/>
  <c r="V16" i="32"/>
  <c r="G16" i="32"/>
  <c r="V15" i="32"/>
  <c r="U15" i="32"/>
  <c r="G15" i="32"/>
  <c r="F15" i="32"/>
  <c r="U14" i="32"/>
  <c r="F14" i="32"/>
  <c r="U13" i="32"/>
  <c r="F13" i="32"/>
  <c r="U12" i="32"/>
  <c r="F12" i="32"/>
  <c r="U11" i="32"/>
  <c r="F11" i="32"/>
  <c r="V10" i="32"/>
  <c r="U10" i="32"/>
  <c r="G10" i="32"/>
  <c r="F10" i="32"/>
  <c r="V9" i="32"/>
  <c r="G9" i="32"/>
  <c r="V8" i="32"/>
  <c r="G8" i="32"/>
  <c r="V7" i="32"/>
  <c r="G7" i="32"/>
  <c r="V6" i="32"/>
  <c r="G6" i="32"/>
  <c r="B1" i="32"/>
  <c r="V17" i="31"/>
  <c r="G17" i="31"/>
  <c r="V16" i="31"/>
  <c r="G16" i="31"/>
  <c r="V15" i="31"/>
  <c r="U15" i="31"/>
  <c r="G15" i="31"/>
  <c r="F15" i="31"/>
  <c r="U14" i="31"/>
  <c r="F14" i="31"/>
  <c r="U13" i="31"/>
  <c r="F13" i="31"/>
  <c r="U12" i="31"/>
  <c r="F12" i="31"/>
  <c r="U11" i="31"/>
  <c r="F11" i="31"/>
  <c r="V10" i="31"/>
  <c r="U10" i="31"/>
  <c r="G10" i="31"/>
  <c r="F10" i="31"/>
  <c r="V9" i="31"/>
  <c r="G9" i="31"/>
  <c r="V8" i="31"/>
  <c r="G8" i="31"/>
  <c r="V7" i="31"/>
  <c r="G7" i="31"/>
  <c r="V6" i="31"/>
  <c r="G6" i="31"/>
  <c r="B1" i="31"/>
  <c r="V17" i="30"/>
  <c r="G17" i="30"/>
  <c r="V16" i="30"/>
  <c r="G16" i="30"/>
  <c r="V15" i="30"/>
  <c r="U15" i="30"/>
  <c r="G15" i="30"/>
  <c r="F15" i="30"/>
  <c r="U14" i="30"/>
  <c r="F14" i="30"/>
  <c r="U13" i="30"/>
  <c r="F13" i="30"/>
  <c r="U12" i="30"/>
  <c r="F12" i="30"/>
  <c r="U11" i="30"/>
  <c r="F11" i="30"/>
  <c r="V10" i="30"/>
  <c r="U10" i="30"/>
  <c r="G10" i="30"/>
  <c r="F10" i="30"/>
  <c r="V9" i="30"/>
  <c r="G9" i="30"/>
  <c r="V8" i="30"/>
  <c r="G8" i="30"/>
  <c r="V7" i="30"/>
  <c r="G7" i="30"/>
  <c r="V6" i="30"/>
  <c r="G6" i="30"/>
  <c r="B1" i="30"/>
  <c r="V17" i="29"/>
  <c r="G17" i="29"/>
  <c r="V16" i="29"/>
  <c r="G16" i="29"/>
  <c r="V15" i="29"/>
  <c r="U15" i="29"/>
  <c r="G15" i="29"/>
  <c r="F15" i="29"/>
  <c r="U14" i="29"/>
  <c r="F14" i="29"/>
  <c r="U13" i="29"/>
  <c r="F13" i="29"/>
  <c r="U12" i="29"/>
  <c r="F12" i="29"/>
  <c r="U11" i="29"/>
  <c r="F11" i="29"/>
  <c r="V10" i="29"/>
  <c r="U10" i="29"/>
  <c r="G10" i="29"/>
  <c r="F10" i="29"/>
  <c r="V9" i="29"/>
  <c r="G9" i="29"/>
  <c r="V8" i="29"/>
  <c r="G8" i="29"/>
  <c r="V7" i="29"/>
  <c r="G7" i="29"/>
  <c r="V6" i="29"/>
  <c r="G6" i="29"/>
  <c r="B1" i="29"/>
  <c r="V17" i="28"/>
  <c r="G17" i="28"/>
  <c r="V16" i="28"/>
  <c r="G16" i="28"/>
  <c r="V15" i="28"/>
  <c r="U15" i="28"/>
  <c r="G15" i="28"/>
  <c r="F15" i="28"/>
  <c r="U14" i="28"/>
  <c r="F14" i="28"/>
  <c r="U13" i="28"/>
  <c r="F13" i="28"/>
  <c r="U12" i="28"/>
  <c r="F12" i="28"/>
  <c r="U11" i="28"/>
  <c r="F11" i="28"/>
  <c r="V10" i="28"/>
  <c r="U10" i="28"/>
  <c r="G10" i="28"/>
  <c r="F10" i="28"/>
  <c r="V9" i="28"/>
  <c r="G9" i="28"/>
  <c r="V8" i="28"/>
  <c r="G8" i="28"/>
  <c r="V7" i="28"/>
  <c r="G7" i="28"/>
  <c r="V6" i="28"/>
  <c r="G6" i="28"/>
  <c r="B1" i="28"/>
  <c r="T13" i="39" l="1"/>
  <c r="E17" i="39"/>
  <c r="E17" i="38"/>
  <c r="T13" i="38"/>
  <c r="AD16" i="25"/>
  <c r="T15" i="25"/>
  <c r="AD15" i="25" s="1"/>
  <c r="T14" i="25"/>
  <c r="AD14" i="25" s="1"/>
  <c r="T13" i="25"/>
  <c r="AD13" i="25" s="1"/>
  <c r="T12" i="25"/>
  <c r="AD34" i="25"/>
  <c r="AD33" i="25"/>
  <c r="AD23" i="25"/>
  <c r="AD22" i="25"/>
  <c r="AD21" i="25"/>
  <c r="E18" i="39" l="1"/>
  <c r="T14" i="39"/>
  <c r="T14" i="38"/>
  <c r="E18" i="38"/>
  <c r="Y48" i="25"/>
  <c r="T11" i="25"/>
  <c r="AD11" i="25" s="1"/>
  <c r="AD17" i="25"/>
  <c r="T15" i="39" l="1"/>
  <c r="T15" i="38"/>
  <c r="O87" i="6"/>
  <c r="O86" i="6"/>
  <c r="O85" i="6"/>
  <c r="O84" i="6"/>
  <c r="O83" i="6"/>
  <c r="O82" i="6"/>
  <c r="O81" i="6"/>
  <c r="O80" i="6"/>
  <c r="O78" i="6"/>
  <c r="O73" i="6"/>
  <c r="O74" i="6"/>
  <c r="O75" i="6"/>
  <c r="O76" i="6"/>
  <c r="O77" i="6"/>
  <c r="O72" i="6"/>
  <c r="O71" i="6"/>
  <c r="O70" i="6"/>
  <c r="O47" i="6"/>
  <c r="O46" i="6"/>
  <c r="O45" i="6"/>
  <c r="O44" i="6"/>
  <c r="O43" i="6"/>
  <c r="O42" i="6"/>
  <c r="O41" i="6"/>
  <c r="O40" i="6"/>
  <c r="O38" i="6"/>
  <c r="O33" i="6"/>
  <c r="O34" i="6"/>
  <c r="O35" i="6"/>
  <c r="O36" i="6"/>
  <c r="O37" i="6"/>
  <c r="O32" i="6"/>
  <c r="O31" i="6"/>
  <c r="O30" i="6"/>
  <c r="T16" i="39" l="1"/>
  <c r="T16" i="38"/>
  <c r="H46" i="8"/>
  <c r="X45" i="8"/>
  <c r="H45" i="8"/>
  <c r="T17" i="39" l="1"/>
  <c r="T17" i="38"/>
  <c r="U15" i="4"/>
  <c r="U14" i="4"/>
  <c r="U13" i="4"/>
  <c r="U12" i="4"/>
  <c r="U11" i="4"/>
  <c r="U10" i="4"/>
  <c r="F10" i="4"/>
  <c r="F15" i="5"/>
  <c r="F14" i="5"/>
  <c r="F13" i="5"/>
  <c r="F12" i="5"/>
  <c r="F11" i="5"/>
  <c r="F10" i="5"/>
  <c r="U15" i="5"/>
  <c r="U14" i="5"/>
  <c r="U13" i="5"/>
  <c r="U12" i="5"/>
  <c r="U11" i="5"/>
  <c r="U10" i="5"/>
  <c r="F15" i="4"/>
  <c r="F14" i="4"/>
  <c r="F13" i="4"/>
  <c r="F12" i="4"/>
  <c r="F11" i="4"/>
  <c r="E99" i="16"/>
  <c r="P13" i="9"/>
  <c r="P12" i="9"/>
  <c r="P11" i="9"/>
  <c r="P10" i="9"/>
  <c r="P9" i="9"/>
  <c r="P8" i="9"/>
  <c r="P7" i="9"/>
  <c r="P6" i="9"/>
  <c r="O13" i="9"/>
  <c r="O12" i="9"/>
  <c r="O11" i="9"/>
  <c r="O10" i="9"/>
  <c r="O9" i="9"/>
  <c r="O8" i="9"/>
  <c r="O7" i="9"/>
  <c r="O6" i="9"/>
  <c r="N13" i="9"/>
  <c r="N12" i="9"/>
  <c r="N11" i="9"/>
  <c r="N8" i="9"/>
  <c r="N9" i="9"/>
  <c r="N10" i="9"/>
  <c r="N7" i="9"/>
  <c r="N6" i="9"/>
  <c r="M13" i="9"/>
  <c r="M12" i="9"/>
  <c r="M11" i="9"/>
  <c r="M10" i="9"/>
  <c r="M7" i="9"/>
  <c r="M8" i="9"/>
  <c r="M9" i="9"/>
  <c r="M6" i="9"/>
  <c r="L13" i="9"/>
  <c r="K13" i="9"/>
  <c r="L12" i="9"/>
  <c r="K12" i="9"/>
  <c r="L11" i="9"/>
  <c r="K11" i="9"/>
  <c r="K10" i="9"/>
  <c r="L10" i="9"/>
  <c r="J12" i="9"/>
  <c r="J11" i="9"/>
  <c r="J10" i="9"/>
  <c r="J9" i="9"/>
  <c r="I11" i="9"/>
  <c r="I10" i="9"/>
  <c r="I9" i="9"/>
  <c r="I8" i="9"/>
  <c r="H10" i="9"/>
  <c r="H9" i="9"/>
  <c r="H8" i="9"/>
  <c r="H7" i="9"/>
  <c r="C8" i="9"/>
  <c r="J13" i="9"/>
  <c r="I13" i="9"/>
  <c r="I12" i="9"/>
  <c r="H11" i="9"/>
  <c r="H12" i="9"/>
  <c r="H13" i="9"/>
  <c r="L5" i="9"/>
  <c r="K5" i="9"/>
  <c r="J5" i="9"/>
  <c r="J8" i="9"/>
  <c r="J7" i="9"/>
  <c r="J6" i="9"/>
  <c r="L9" i="9"/>
  <c r="L8" i="9"/>
  <c r="L7" i="9"/>
  <c r="L6" i="9"/>
  <c r="K9" i="9"/>
  <c r="K8" i="9"/>
  <c r="K7" i="9"/>
  <c r="K6" i="9"/>
  <c r="I5" i="9"/>
  <c r="I7" i="9"/>
  <c r="I6" i="9"/>
  <c r="H6" i="9"/>
  <c r="G13" i="9"/>
  <c r="G12" i="9"/>
  <c r="G11" i="9"/>
  <c r="G10" i="9"/>
  <c r="G9" i="9"/>
  <c r="G8" i="9"/>
  <c r="G7" i="9"/>
  <c r="G6" i="9"/>
  <c r="F13" i="9"/>
  <c r="F12" i="9"/>
  <c r="F11" i="9"/>
  <c r="F10" i="9"/>
  <c r="F9" i="9"/>
  <c r="F8" i="9"/>
  <c r="F7" i="9"/>
  <c r="F6" i="9"/>
  <c r="E13" i="9"/>
  <c r="E12" i="9"/>
  <c r="E11" i="9"/>
  <c r="E10" i="9"/>
  <c r="E9" i="9"/>
  <c r="E8" i="9"/>
  <c r="E7" i="9"/>
  <c r="E6" i="9"/>
  <c r="D6" i="9"/>
  <c r="D7" i="9"/>
  <c r="D8" i="9"/>
  <c r="D13" i="9"/>
  <c r="D12" i="9"/>
  <c r="D11" i="9"/>
  <c r="D10" i="9"/>
  <c r="D9" i="9"/>
  <c r="C7" i="9"/>
  <c r="C13" i="9"/>
  <c r="C12" i="9"/>
  <c r="C11" i="9"/>
  <c r="C10" i="9"/>
  <c r="C9" i="9"/>
  <c r="C6" i="9"/>
  <c r="G29" i="19"/>
  <c r="G66" i="19" s="1"/>
  <c r="F29" i="19"/>
  <c r="G16" i="19"/>
  <c r="Q15" i="6"/>
  <c r="D99" i="16"/>
  <c r="T18" i="39" l="1"/>
  <c r="T18" i="38"/>
  <c r="Y25" i="25"/>
  <c r="T25" i="25"/>
  <c r="AD24" i="25"/>
  <c r="AD20" i="25"/>
  <c r="AD19" i="25"/>
  <c r="Y18" i="25"/>
  <c r="Y32" i="25" s="1"/>
  <c r="Y35" i="25" s="1"/>
  <c r="AD12" i="25"/>
  <c r="T10" i="25"/>
  <c r="E5" i="6"/>
  <c r="J6" i="6"/>
  <c r="E6" i="6"/>
  <c r="V17" i="5"/>
  <c r="V16" i="5"/>
  <c r="V15" i="5"/>
  <c r="V10" i="5"/>
  <c r="V9" i="5"/>
  <c r="V8" i="5"/>
  <c r="V7" i="5"/>
  <c r="V6" i="5"/>
  <c r="V17" i="4"/>
  <c r="V16" i="4"/>
  <c r="V15" i="4"/>
  <c r="V10" i="4"/>
  <c r="V9" i="4"/>
  <c r="V8" i="4"/>
  <c r="V7" i="4"/>
  <c r="V6" i="4"/>
  <c r="AD12" i="21"/>
  <c r="T18" i="25" l="1"/>
  <c r="AD10" i="25"/>
  <c r="AD25" i="25"/>
  <c r="H8" i="6"/>
  <c r="E8" i="6"/>
  <c r="K4" i="6"/>
  <c r="Q37" i="3"/>
  <c r="Q36" i="3"/>
  <c r="Q35" i="3"/>
  <c r="Q34" i="3"/>
  <c r="Q33" i="3"/>
  <c r="F11" i="6"/>
  <c r="F10" i="6"/>
  <c r="E7" i="6"/>
  <c r="I13" i="6"/>
  <c r="H15" i="6"/>
  <c r="N15" i="6"/>
  <c r="H16" i="6"/>
  <c r="H17" i="6"/>
  <c r="H18" i="6"/>
  <c r="H19" i="6"/>
  <c r="H20" i="6"/>
  <c r="H21" i="6"/>
  <c r="H22" i="6"/>
  <c r="H23" i="6"/>
  <c r="G16" i="6"/>
  <c r="G17" i="6"/>
  <c r="G18" i="6"/>
  <c r="G19" i="6"/>
  <c r="G20" i="6"/>
  <c r="G21" i="6"/>
  <c r="G22" i="6"/>
  <c r="G23" i="6"/>
  <c r="V115" i="3"/>
  <c r="H114" i="3" s="1"/>
  <c r="M17" i="6" s="1"/>
  <c r="V116" i="3"/>
  <c r="H115" i="3" s="1"/>
  <c r="Q18" i="6" s="1"/>
  <c r="V117" i="3"/>
  <c r="H116" i="3" s="1"/>
  <c r="M19" i="6" s="1"/>
  <c r="V118" i="3"/>
  <c r="H117" i="3" s="1"/>
  <c r="M20" i="6" s="1"/>
  <c r="V119" i="3"/>
  <c r="H118" i="3" s="1"/>
  <c r="M21" i="6" s="1"/>
  <c r="V120" i="3"/>
  <c r="H119" i="3" s="1"/>
  <c r="Q22" i="6" s="1"/>
  <c r="V121" i="3"/>
  <c r="H120" i="3" s="1"/>
  <c r="M23" i="6" s="1"/>
  <c r="V114" i="3"/>
  <c r="H113" i="3" s="1"/>
  <c r="M16" i="6" s="1"/>
  <c r="X6" i="6"/>
  <c r="H6" i="6"/>
  <c r="M60" i="19"/>
  <c r="P87" i="6" s="1"/>
  <c r="M59" i="19"/>
  <c r="P86" i="6" s="1"/>
  <c r="M58" i="19"/>
  <c r="P85" i="6" s="1"/>
  <c r="M57" i="19"/>
  <c r="P84" i="6" s="1"/>
  <c r="M56" i="19"/>
  <c r="P83" i="6" s="1"/>
  <c r="M55" i="19"/>
  <c r="P82" i="6" s="1"/>
  <c r="M54" i="19"/>
  <c r="P81" i="6" s="1"/>
  <c r="M53" i="19"/>
  <c r="P80" i="6" s="1"/>
  <c r="M52" i="19"/>
  <c r="P78" i="6" s="1"/>
  <c r="M51" i="19"/>
  <c r="P77" i="6" s="1"/>
  <c r="M50" i="19"/>
  <c r="P76" i="6" s="1"/>
  <c r="M49" i="19"/>
  <c r="P75" i="6" s="1"/>
  <c r="M48" i="19"/>
  <c r="P74" i="6" s="1"/>
  <c r="M47" i="19"/>
  <c r="P73" i="6" s="1"/>
  <c r="M46" i="19"/>
  <c r="P72" i="6" s="1"/>
  <c r="M45" i="19"/>
  <c r="P71" i="6" s="1"/>
  <c r="M44" i="19"/>
  <c r="P70" i="6" s="1"/>
  <c r="K36" i="19"/>
  <c r="K73" i="19" s="1"/>
  <c r="I36" i="19"/>
  <c r="I73" i="19" s="1"/>
  <c r="G36" i="19"/>
  <c r="G73" i="19" s="1"/>
  <c r="F36" i="19"/>
  <c r="K35" i="19"/>
  <c r="K72" i="19" s="1"/>
  <c r="I35" i="19"/>
  <c r="I72" i="19" s="1"/>
  <c r="G35" i="19"/>
  <c r="G72" i="19" s="1"/>
  <c r="F35" i="19"/>
  <c r="K34" i="19"/>
  <c r="K71" i="19" s="1"/>
  <c r="I34" i="19"/>
  <c r="I71" i="19" s="1"/>
  <c r="G34" i="19"/>
  <c r="G71" i="19" s="1"/>
  <c r="F34" i="19"/>
  <c r="K33" i="19"/>
  <c r="K70" i="19" s="1"/>
  <c r="I33" i="19"/>
  <c r="I70" i="19" s="1"/>
  <c r="G33" i="19"/>
  <c r="G70" i="19" s="1"/>
  <c r="F33" i="19"/>
  <c r="K32" i="19"/>
  <c r="K69" i="19" s="1"/>
  <c r="I32" i="19"/>
  <c r="I69" i="19" s="1"/>
  <c r="G32" i="19"/>
  <c r="G69" i="19" s="1"/>
  <c r="F32" i="19"/>
  <c r="K31" i="19"/>
  <c r="K68" i="19" s="1"/>
  <c r="I31" i="19"/>
  <c r="I68" i="19" s="1"/>
  <c r="G31" i="19"/>
  <c r="G68" i="19" s="1"/>
  <c r="F31" i="19"/>
  <c r="K30" i="19"/>
  <c r="K67" i="19" s="1"/>
  <c r="I30" i="19"/>
  <c r="I67" i="19" s="1"/>
  <c r="G30" i="19"/>
  <c r="G67" i="19" s="1"/>
  <c r="F30" i="19"/>
  <c r="K29" i="19"/>
  <c r="K66" i="19" s="1"/>
  <c r="I29" i="19"/>
  <c r="I66" i="19" s="1"/>
  <c r="M23" i="19"/>
  <c r="P47" i="6" s="1"/>
  <c r="F23" i="19"/>
  <c r="E23" i="19"/>
  <c r="E60" i="19" s="1"/>
  <c r="E73" i="19" s="1"/>
  <c r="M22" i="19"/>
  <c r="P46" i="6" s="1"/>
  <c r="F22" i="19"/>
  <c r="E22" i="19"/>
  <c r="E35" i="19" s="1"/>
  <c r="M21" i="19"/>
  <c r="P45" i="6" s="1"/>
  <c r="F21" i="19"/>
  <c r="E21" i="19"/>
  <c r="E58" i="19" s="1"/>
  <c r="E71" i="19" s="1"/>
  <c r="M20" i="19"/>
  <c r="P44" i="6" s="1"/>
  <c r="F20" i="19"/>
  <c r="E20" i="19"/>
  <c r="E33" i="19" s="1"/>
  <c r="M19" i="19"/>
  <c r="P43" i="6" s="1"/>
  <c r="F19" i="19"/>
  <c r="E19" i="19"/>
  <c r="E56" i="19" s="1"/>
  <c r="E69" i="19" s="1"/>
  <c r="M18" i="19"/>
  <c r="P42" i="6" s="1"/>
  <c r="F18" i="19"/>
  <c r="E18" i="19"/>
  <c r="E31" i="19" s="1"/>
  <c r="M17" i="19"/>
  <c r="P41" i="6" s="1"/>
  <c r="F17" i="19"/>
  <c r="E17" i="19"/>
  <c r="E54" i="19" s="1"/>
  <c r="E67" i="19" s="1"/>
  <c r="M16" i="19"/>
  <c r="P40" i="6" s="1"/>
  <c r="K16" i="19"/>
  <c r="K53" i="19" s="1"/>
  <c r="I16" i="19"/>
  <c r="I17" i="19" s="1"/>
  <c r="G53" i="19"/>
  <c r="F16" i="19"/>
  <c r="E16" i="19"/>
  <c r="E53" i="19" s="1"/>
  <c r="E66" i="19" s="1"/>
  <c r="M15" i="19"/>
  <c r="P38" i="6" s="1"/>
  <c r="E15" i="19"/>
  <c r="E52" i="19" s="1"/>
  <c r="M14" i="19"/>
  <c r="P37" i="6" s="1"/>
  <c r="E14" i="19"/>
  <c r="E51" i="19" s="1"/>
  <c r="M13" i="19"/>
  <c r="P36" i="6" s="1"/>
  <c r="E13" i="19"/>
  <c r="E50" i="19" s="1"/>
  <c r="M12" i="19"/>
  <c r="P35" i="6" s="1"/>
  <c r="E12" i="19"/>
  <c r="E49" i="19" s="1"/>
  <c r="M11" i="19"/>
  <c r="P34" i="6" s="1"/>
  <c r="E11" i="19"/>
  <c r="E48" i="19" s="1"/>
  <c r="M10" i="19"/>
  <c r="P33" i="6" s="1"/>
  <c r="E10" i="19"/>
  <c r="M9" i="19"/>
  <c r="P32" i="6" s="1"/>
  <c r="E9" i="19"/>
  <c r="E46" i="19" s="1"/>
  <c r="M8" i="19"/>
  <c r="P31" i="6" s="1"/>
  <c r="E8" i="19"/>
  <c r="E45" i="19" s="1"/>
  <c r="M7" i="19"/>
  <c r="E7" i="19"/>
  <c r="E44" i="19" s="1"/>
  <c r="AD18" i="25" l="1"/>
  <c r="S48" i="25" s="1"/>
  <c r="AE48" i="25" s="1"/>
  <c r="T32" i="25"/>
  <c r="T35" i="25" s="1"/>
  <c r="P30" i="6"/>
  <c r="J31" i="19"/>
  <c r="X7" i="6"/>
  <c r="I7" i="6"/>
  <c r="R37" i="3"/>
  <c r="K7" i="6" s="1"/>
  <c r="Q23" i="6"/>
  <c r="Q19" i="6"/>
  <c r="Q20" i="6"/>
  <c r="Q16" i="6"/>
  <c r="M22" i="6"/>
  <c r="M18" i="6"/>
  <c r="Q21" i="6"/>
  <c r="Q17" i="6"/>
  <c r="G120" i="3"/>
  <c r="G117" i="3"/>
  <c r="G116" i="3"/>
  <c r="G115" i="3"/>
  <c r="G119" i="3"/>
  <c r="G114" i="3"/>
  <c r="G118" i="3"/>
  <c r="G113" i="3"/>
  <c r="E30" i="19"/>
  <c r="J30" i="19" s="1"/>
  <c r="J35" i="19"/>
  <c r="G17" i="19"/>
  <c r="G18" i="19" s="1"/>
  <c r="G19" i="19" s="1"/>
  <c r="G20" i="19" s="1"/>
  <c r="H20" i="19" s="1"/>
  <c r="O21" i="19"/>
  <c r="K17" i="19"/>
  <c r="K18" i="19" s="1"/>
  <c r="L18" i="19" s="1"/>
  <c r="O17" i="19"/>
  <c r="E32" i="19"/>
  <c r="J32" i="19" s="1"/>
  <c r="E47" i="19"/>
  <c r="O18" i="19"/>
  <c r="O19" i="19"/>
  <c r="O22" i="19"/>
  <c r="O23" i="19"/>
  <c r="E36" i="19"/>
  <c r="J36" i="19" s="1"/>
  <c r="O16" i="19"/>
  <c r="H17" i="19"/>
  <c r="O20" i="19"/>
  <c r="J33" i="19"/>
  <c r="E34" i="19"/>
  <c r="J34" i="19" s="1"/>
  <c r="G57" i="19"/>
  <c r="J16" i="19"/>
  <c r="K55" i="19"/>
  <c r="E29" i="19"/>
  <c r="J29" i="19" s="1"/>
  <c r="E55" i="19"/>
  <c r="E68" i="19" s="1"/>
  <c r="E57" i="19"/>
  <c r="E70" i="19" s="1"/>
  <c r="E59" i="19"/>
  <c r="E72" i="19" s="1"/>
  <c r="I54" i="19"/>
  <c r="J17" i="19"/>
  <c r="I18" i="19"/>
  <c r="G56" i="19"/>
  <c r="I53" i="19"/>
  <c r="H16" i="19"/>
  <c r="L16" i="19"/>
  <c r="H31" i="19"/>
  <c r="L31" i="19"/>
  <c r="H33" i="19"/>
  <c r="L33" i="19"/>
  <c r="H35" i="19"/>
  <c r="L35" i="19"/>
  <c r="D26" i="14"/>
  <c r="D25" i="14"/>
  <c r="E28" i="3"/>
  <c r="K8" i="6" s="1"/>
  <c r="E106" i="16"/>
  <c r="D106" i="16"/>
  <c r="E105" i="16"/>
  <c r="D105" i="16"/>
  <c r="E104" i="16"/>
  <c r="D104" i="16"/>
  <c r="E103" i="16"/>
  <c r="D103" i="16"/>
  <c r="E102" i="16"/>
  <c r="D102" i="16"/>
  <c r="E101" i="16"/>
  <c r="D101" i="16"/>
  <c r="E100" i="16"/>
  <c r="D100" i="16"/>
  <c r="K17" i="41" l="1"/>
  <c r="K16" i="41"/>
  <c r="K14" i="41"/>
  <c r="K13" i="41"/>
  <c r="K12" i="41"/>
  <c r="K11" i="41"/>
  <c r="K9" i="41"/>
  <c r="K8" i="41"/>
  <c r="K7" i="41"/>
  <c r="K6" i="41"/>
  <c r="Z17" i="41"/>
  <c r="Z16" i="41"/>
  <c r="Z15" i="41"/>
  <c r="K15" i="41"/>
  <c r="Z14" i="41"/>
  <c r="Z13" i="41"/>
  <c r="Z12" i="41"/>
  <c r="Z11" i="41"/>
  <c r="Z10" i="41"/>
  <c r="K10" i="41"/>
  <c r="Z9" i="41"/>
  <c r="Z8" i="41"/>
  <c r="Z7" i="41"/>
  <c r="Z6" i="41"/>
  <c r="Z6" i="40"/>
  <c r="Z7" i="40" s="1"/>
  <c r="Z8" i="40" s="1"/>
  <c r="Z9" i="40" s="1"/>
  <c r="Z10" i="40" s="1"/>
  <c r="Z11" i="40" s="1"/>
  <c r="Z12" i="40" s="1"/>
  <c r="Z13" i="40" s="1"/>
  <c r="Z14" i="40" s="1"/>
  <c r="Z15" i="40" s="1"/>
  <c r="Z16" i="40" s="1"/>
  <c r="Z17" i="40" s="1"/>
  <c r="K6" i="40"/>
  <c r="K7" i="40" s="1"/>
  <c r="K8" i="40" s="1"/>
  <c r="K9" i="40" s="1"/>
  <c r="K10" i="40" s="1"/>
  <c r="K11" i="40" s="1"/>
  <c r="K12" i="40" s="1"/>
  <c r="K13" i="40" s="1"/>
  <c r="K14" i="40" s="1"/>
  <c r="K15" i="40" s="1"/>
  <c r="K16" i="40" s="1"/>
  <c r="K17" i="40" s="1"/>
  <c r="K6" i="39"/>
  <c r="K7" i="39" s="1"/>
  <c r="K8" i="39" s="1"/>
  <c r="K9" i="39" s="1"/>
  <c r="K10" i="39" s="1"/>
  <c r="K11" i="39" s="1"/>
  <c r="K12" i="39" s="1"/>
  <c r="K13" i="39" s="1"/>
  <c r="K14" i="39" s="1"/>
  <c r="K15" i="39" s="1"/>
  <c r="K16" i="39" s="1"/>
  <c r="K17" i="39" s="1"/>
  <c r="Z17" i="38"/>
  <c r="Z16" i="38"/>
  <c r="Z15" i="38"/>
  <c r="K15" i="38"/>
  <c r="Z14" i="38"/>
  <c r="Z13" i="38"/>
  <c r="Z12" i="38"/>
  <c r="Z11" i="38"/>
  <c r="Z10" i="38"/>
  <c r="K10" i="38"/>
  <c r="Z9" i="38"/>
  <c r="Z8" i="38"/>
  <c r="Z7" i="38"/>
  <c r="Z6" i="38"/>
  <c r="Z6" i="39"/>
  <c r="Z7" i="39" s="1"/>
  <c r="Z8" i="39" s="1"/>
  <c r="Z9" i="39" s="1"/>
  <c r="Z10" i="39" s="1"/>
  <c r="Z11" i="39" s="1"/>
  <c r="Z12" i="39" s="1"/>
  <c r="Z13" i="39" s="1"/>
  <c r="Z14" i="39" s="1"/>
  <c r="Z15" i="39" s="1"/>
  <c r="Z16" i="39" s="1"/>
  <c r="Z17" i="39" s="1"/>
  <c r="K17" i="38"/>
  <c r="K16" i="38"/>
  <c r="K14" i="38"/>
  <c r="K13" i="38"/>
  <c r="K12" i="38"/>
  <c r="K11" i="38"/>
  <c r="K9" i="38"/>
  <c r="K8" i="38"/>
  <c r="K7" i="38"/>
  <c r="K6" i="38"/>
  <c r="Y17" i="41"/>
  <c r="Y16" i="41"/>
  <c r="Y15" i="41"/>
  <c r="J15" i="41"/>
  <c r="Y14" i="41"/>
  <c r="Y13" i="41"/>
  <c r="Y12" i="41"/>
  <c r="Y11" i="41"/>
  <c r="Y10" i="41"/>
  <c r="J10" i="41"/>
  <c r="Y9" i="41"/>
  <c r="Y8" i="41"/>
  <c r="Y7" i="41"/>
  <c r="Y6" i="41"/>
  <c r="J17" i="41"/>
  <c r="J16" i="41"/>
  <c r="J14" i="41"/>
  <c r="J13" i="41"/>
  <c r="J12" i="41"/>
  <c r="J11" i="41"/>
  <c r="J9" i="41"/>
  <c r="J8" i="41"/>
  <c r="J7" i="41"/>
  <c r="J6" i="41"/>
  <c r="J6" i="40"/>
  <c r="J7" i="40" s="1"/>
  <c r="J8" i="40" s="1"/>
  <c r="J9" i="40" s="1"/>
  <c r="J10" i="40" s="1"/>
  <c r="J11" i="40" s="1"/>
  <c r="J12" i="40" s="1"/>
  <c r="J13" i="40" s="1"/>
  <c r="J14" i="40" s="1"/>
  <c r="J15" i="40" s="1"/>
  <c r="J16" i="40" s="1"/>
  <c r="J17" i="40" s="1"/>
  <c r="Y6" i="40"/>
  <c r="Y7" i="40" s="1"/>
  <c r="Y8" i="40" s="1"/>
  <c r="Y9" i="40" s="1"/>
  <c r="Y10" i="40" s="1"/>
  <c r="Y11" i="40" s="1"/>
  <c r="Y12" i="40" s="1"/>
  <c r="Y13" i="40" s="1"/>
  <c r="Y14" i="40" s="1"/>
  <c r="Y15" i="40" s="1"/>
  <c r="Y16" i="40" s="1"/>
  <c r="Y17" i="40" s="1"/>
  <c r="Y6" i="39"/>
  <c r="Y7" i="39" s="1"/>
  <c r="Y8" i="39" s="1"/>
  <c r="Y9" i="39" s="1"/>
  <c r="Y10" i="39" s="1"/>
  <c r="Y11" i="39" s="1"/>
  <c r="Y12" i="39" s="1"/>
  <c r="Y13" i="39" s="1"/>
  <c r="Y14" i="39" s="1"/>
  <c r="Y15" i="39" s="1"/>
  <c r="Y16" i="39" s="1"/>
  <c r="Y17" i="39" s="1"/>
  <c r="J17" i="38"/>
  <c r="J16" i="38"/>
  <c r="J14" i="38"/>
  <c r="J13" i="38"/>
  <c r="J12" i="38"/>
  <c r="J11" i="38"/>
  <c r="J9" i="38"/>
  <c r="J8" i="38"/>
  <c r="J7" i="38"/>
  <c r="J6" i="38"/>
  <c r="J6" i="39"/>
  <c r="J7" i="39" s="1"/>
  <c r="J8" i="39" s="1"/>
  <c r="J9" i="39" s="1"/>
  <c r="J10" i="39" s="1"/>
  <c r="J11" i="39" s="1"/>
  <c r="J12" i="39" s="1"/>
  <c r="J13" i="39" s="1"/>
  <c r="J14" i="39" s="1"/>
  <c r="J15" i="39" s="1"/>
  <c r="J16" i="39" s="1"/>
  <c r="J17" i="39" s="1"/>
  <c r="Y17" i="38"/>
  <c r="Y16" i="38"/>
  <c r="Y15" i="38"/>
  <c r="J15" i="38"/>
  <c r="Y14" i="38"/>
  <c r="Y13" i="38"/>
  <c r="Y12" i="38"/>
  <c r="Y11" i="38"/>
  <c r="Y10" i="38"/>
  <c r="J10" i="38"/>
  <c r="Y9" i="38"/>
  <c r="Y8" i="38"/>
  <c r="Y7" i="38"/>
  <c r="Y6" i="38"/>
  <c r="G54" i="19"/>
  <c r="L17" i="19"/>
  <c r="T6" i="33"/>
  <c r="T7" i="33" s="1"/>
  <c r="T8" i="33" s="1"/>
  <c r="T9" i="33" s="1"/>
  <c r="T10" i="33" s="1"/>
  <c r="T11" i="33" s="1"/>
  <c r="T12" i="33" s="1"/>
  <c r="T13" i="33" s="1"/>
  <c r="T14" i="33" s="1"/>
  <c r="T15" i="33" s="1"/>
  <c r="T16" i="33" s="1"/>
  <c r="E6" i="33"/>
  <c r="E7" i="33" s="1"/>
  <c r="E8" i="33" s="1"/>
  <c r="E9" i="33" s="1"/>
  <c r="E10" i="33" s="1"/>
  <c r="E11" i="33" s="1"/>
  <c r="E12" i="33" s="1"/>
  <c r="E13" i="33" s="1"/>
  <c r="E14" i="33" s="1"/>
  <c r="E15" i="33" s="1"/>
  <c r="E16" i="33" s="1"/>
  <c r="T6" i="31"/>
  <c r="T7" i="31" s="1"/>
  <c r="T8" i="31" s="1"/>
  <c r="T9" i="31" s="1"/>
  <c r="T10" i="31" s="1"/>
  <c r="T11" i="31" s="1"/>
  <c r="T12" i="31" s="1"/>
  <c r="T13" i="31" s="1"/>
  <c r="T14" i="31" s="1"/>
  <c r="T15" i="31" s="1"/>
  <c r="T16" i="31" s="1"/>
  <c r="T6" i="30"/>
  <c r="T7" i="30" s="1"/>
  <c r="T8" i="30" s="1"/>
  <c r="T9" i="30" s="1"/>
  <c r="T10" i="30" s="1"/>
  <c r="T11" i="30" s="1"/>
  <c r="T12" i="30" s="1"/>
  <c r="T13" i="30" s="1"/>
  <c r="T14" i="30" s="1"/>
  <c r="T15" i="30" s="1"/>
  <c r="T16" i="30" s="1"/>
  <c r="E6" i="30"/>
  <c r="T6" i="29"/>
  <c r="T7" i="29" s="1"/>
  <c r="T8" i="29" s="1"/>
  <c r="T9" i="29" s="1"/>
  <c r="T10" i="29" s="1"/>
  <c r="T11" i="29" s="1"/>
  <c r="T12" i="29" s="1"/>
  <c r="T13" i="29" s="1"/>
  <c r="T14" i="29" s="1"/>
  <c r="T15" i="29" s="1"/>
  <c r="T16" i="29" s="1"/>
  <c r="E6" i="29"/>
  <c r="T6" i="35"/>
  <c r="T7" i="35" s="1"/>
  <c r="T8" i="35" s="1"/>
  <c r="T9" i="35" s="1"/>
  <c r="T10" i="35" s="1"/>
  <c r="T11" i="35" s="1"/>
  <c r="T12" i="35" s="1"/>
  <c r="T13" i="35" s="1"/>
  <c r="T14" i="35" s="1"/>
  <c r="T15" i="35" s="1"/>
  <c r="T16" i="35" s="1"/>
  <c r="T6" i="28"/>
  <c r="T7" i="28" s="1"/>
  <c r="T8" i="28" s="1"/>
  <c r="T9" i="28" s="1"/>
  <c r="T10" i="28" s="1"/>
  <c r="T11" i="28" s="1"/>
  <c r="T12" i="28" s="1"/>
  <c r="T13" i="28" s="1"/>
  <c r="T14" i="28" s="1"/>
  <c r="T15" i="28" s="1"/>
  <c r="T16" i="28" s="1"/>
  <c r="E6" i="28"/>
  <c r="E6" i="35"/>
  <c r="Z6" i="36"/>
  <c r="Z7" i="36" s="1"/>
  <c r="Z8" i="36" s="1"/>
  <c r="Z9" i="36" s="1"/>
  <c r="Z10" i="36" s="1"/>
  <c r="Z11" i="36" s="1"/>
  <c r="Z12" i="36" s="1"/>
  <c r="Z13" i="36" s="1"/>
  <c r="Z14" i="36" s="1"/>
  <c r="Z15" i="36" s="1"/>
  <c r="Z16" i="36" s="1"/>
  <c r="Z17" i="36" s="1"/>
  <c r="K6" i="36"/>
  <c r="K7" i="36" s="1"/>
  <c r="K8" i="36" s="1"/>
  <c r="K9" i="36" s="1"/>
  <c r="K10" i="36" s="1"/>
  <c r="K11" i="36" s="1"/>
  <c r="K12" i="36" s="1"/>
  <c r="K13" i="36" s="1"/>
  <c r="K14" i="36" s="1"/>
  <c r="K15" i="36" s="1"/>
  <c r="K16" i="36" s="1"/>
  <c r="K17" i="36" s="1"/>
  <c r="Z6" i="35"/>
  <c r="Z7" i="35" s="1"/>
  <c r="Z8" i="35" s="1"/>
  <c r="Z9" i="35" s="1"/>
  <c r="Z10" i="35" s="1"/>
  <c r="Z11" i="35" s="1"/>
  <c r="Z12" i="35" s="1"/>
  <c r="Z13" i="35" s="1"/>
  <c r="Z14" i="35" s="1"/>
  <c r="Z15" i="35" s="1"/>
  <c r="Z16" i="35" s="1"/>
  <c r="Z17" i="35" s="1"/>
  <c r="K6" i="35"/>
  <c r="K7" i="35" s="1"/>
  <c r="K8" i="35" s="1"/>
  <c r="K9" i="35" s="1"/>
  <c r="K10" i="35" s="1"/>
  <c r="K11" i="35" s="1"/>
  <c r="K12" i="35" s="1"/>
  <c r="K13" i="35" s="1"/>
  <c r="K14" i="35" s="1"/>
  <c r="K15" i="35" s="1"/>
  <c r="K16" i="35" s="1"/>
  <c r="K17" i="35" s="1"/>
  <c r="Z6" i="34"/>
  <c r="Z7" i="34" s="1"/>
  <c r="Z8" i="34" s="1"/>
  <c r="Z9" i="34" s="1"/>
  <c r="Z10" i="34" s="1"/>
  <c r="Z11" i="34" s="1"/>
  <c r="Z12" i="34" s="1"/>
  <c r="Z13" i="34" s="1"/>
  <c r="Z14" i="34" s="1"/>
  <c r="Z15" i="34" s="1"/>
  <c r="Z16" i="34" s="1"/>
  <c r="Z17" i="34" s="1"/>
  <c r="K6" i="34"/>
  <c r="K7" i="34" s="1"/>
  <c r="K8" i="34" s="1"/>
  <c r="K9" i="34" s="1"/>
  <c r="K10" i="34" s="1"/>
  <c r="K11" i="34" s="1"/>
  <c r="K12" i="34" s="1"/>
  <c r="K13" i="34" s="1"/>
  <c r="K14" i="34" s="1"/>
  <c r="K15" i="34" s="1"/>
  <c r="K16" i="34" s="1"/>
  <c r="K17" i="34" s="1"/>
  <c r="Z17" i="32"/>
  <c r="Z16" i="32"/>
  <c r="Z15" i="32"/>
  <c r="K15" i="32"/>
  <c r="Z14" i="32"/>
  <c r="Z13" i="32"/>
  <c r="Z12" i="32"/>
  <c r="Z11" i="32"/>
  <c r="Z10" i="32"/>
  <c r="K10" i="32"/>
  <c r="Z9" i="32"/>
  <c r="Z8" i="32"/>
  <c r="Z7" i="32"/>
  <c r="Z6" i="32"/>
  <c r="K6" i="32"/>
  <c r="K17" i="31"/>
  <c r="K16" i="31"/>
  <c r="K14" i="31"/>
  <c r="K13" i="31"/>
  <c r="K12" i="31"/>
  <c r="K11" i="31"/>
  <c r="K9" i="31"/>
  <c r="K8" i="31"/>
  <c r="K7" i="31"/>
  <c r="Z17" i="28"/>
  <c r="Z16" i="28"/>
  <c r="Z15" i="28"/>
  <c r="K15" i="28"/>
  <c r="Z14" i="28"/>
  <c r="Z13" i="28"/>
  <c r="Z12" i="28"/>
  <c r="Z6" i="33"/>
  <c r="Z7" i="33" s="1"/>
  <c r="Z8" i="33" s="1"/>
  <c r="Z9" i="33" s="1"/>
  <c r="Z10" i="33" s="1"/>
  <c r="Z11" i="33" s="1"/>
  <c r="Z12" i="33" s="1"/>
  <c r="Z13" i="33" s="1"/>
  <c r="Z14" i="33" s="1"/>
  <c r="Z15" i="33" s="1"/>
  <c r="Z16" i="33" s="1"/>
  <c r="Z17" i="33" s="1"/>
  <c r="K6" i="33"/>
  <c r="K7" i="33" s="1"/>
  <c r="K8" i="33" s="1"/>
  <c r="K9" i="33" s="1"/>
  <c r="K10" i="33" s="1"/>
  <c r="K11" i="33" s="1"/>
  <c r="K12" i="33" s="1"/>
  <c r="K13" i="33" s="1"/>
  <c r="K14" i="33" s="1"/>
  <c r="K15" i="33" s="1"/>
  <c r="K16" i="33" s="1"/>
  <c r="K17" i="33" s="1"/>
  <c r="Z17" i="31"/>
  <c r="Z16" i="31"/>
  <c r="Z15" i="31"/>
  <c r="Z14" i="31"/>
  <c r="Z13" i="31"/>
  <c r="Z12" i="31"/>
  <c r="Z11" i="31"/>
  <c r="Z10" i="31"/>
  <c r="Z9" i="31"/>
  <c r="Z8" i="31"/>
  <c r="Z7" i="31"/>
  <c r="Z6" i="31"/>
  <c r="K6" i="31"/>
  <c r="Z6" i="30"/>
  <c r="Z7" i="30" s="1"/>
  <c r="Z8" i="30" s="1"/>
  <c r="Z9" i="30" s="1"/>
  <c r="Z10" i="30" s="1"/>
  <c r="Z11" i="30" s="1"/>
  <c r="Z12" i="30" s="1"/>
  <c r="Z13" i="30" s="1"/>
  <c r="Z14" i="30" s="1"/>
  <c r="Z15" i="30" s="1"/>
  <c r="Z16" i="30" s="1"/>
  <c r="Z17" i="30" s="1"/>
  <c r="K6" i="30"/>
  <c r="K7" i="30" s="1"/>
  <c r="K8" i="30" s="1"/>
  <c r="K9" i="30" s="1"/>
  <c r="K10" i="30" s="1"/>
  <c r="K11" i="30" s="1"/>
  <c r="K12" i="30" s="1"/>
  <c r="K13" i="30" s="1"/>
  <c r="K14" i="30" s="1"/>
  <c r="K15" i="30" s="1"/>
  <c r="K16" i="30" s="1"/>
  <c r="K17" i="30" s="1"/>
  <c r="Z6" i="29"/>
  <c r="Z7" i="29" s="1"/>
  <c r="Z8" i="29" s="1"/>
  <c r="Z9" i="29" s="1"/>
  <c r="Z10" i="29" s="1"/>
  <c r="Z11" i="29" s="1"/>
  <c r="Z12" i="29" s="1"/>
  <c r="Z13" i="29" s="1"/>
  <c r="Z14" i="29" s="1"/>
  <c r="Z15" i="29" s="1"/>
  <c r="Z16" i="29" s="1"/>
  <c r="Z17" i="29" s="1"/>
  <c r="K6" i="29"/>
  <c r="K7" i="29" s="1"/>
  <c r="K8" i="29" s="1"/>
  <c r="K9" i="29" s="1"/>
  <c r="K10" i="29" s="1"/>
  <c r="K11" i="29" s="1"/>
  <c r="K12" i="29" s="1"/>
  <c r="K13" i="29" s="1"/>
  <c r="K14" i="29" s="1"/>
  <c r="K15" i="29" s="1"/>
  <c r="K16" i="29" s="1"/>
  <c r="K17" i="29" s="1"/>
  <c r="K11" i="28"/>
  <c r="K9" i="28"/>
  <c r="K8" i="28"/>
  <c r="K7" i="28"/>
  <c r="K17" i="32"/>
  <c r="K16" i="32"/>
  <c r="K14" i="32"/>
  <c r="K13" i="32"/>
  <c r="K12" i="32"/>
  <c r="K11" i="32"/>
  <c r="K9" i="32"/>
  <c r="K8" i="32"/>
  <c r="K7" i="32"/>
  <c r="K15" i="31"/>
  <c r="K10" i="31"/>
  <c r="K17" i="28"/>
  <c r="K16" i="28"/>
  <c r="K14" i="28"/>
  <c r="K13" i="28"/>
  <c r="K12" i="28"/>
  <c r="Z11" i="28"/>
  <c r="Z10" i="28"/>
  <c r="K10" i="28"/>
  <c r="Z9" i="28"/>
  <c r="Z8" i="28"/>
  <c r="Z7" i="28"/>
  <c r="Z6" i="28"/>
  <c r="K6" i="28"/>
  <c r="Y6" i="33"/>
  <c r="Y7" i="33" s="1"/>
  <c r="Y8" i="33" s="1"/>
  <c r="Y9" i="33" s="1"/>
  <c r="Y10" i="33" s="1"/>
  <c r="Y11" i="33" s="1"/>
  <c r="Y12" i="33" s="1"/>
  <c r="Y13" i="33" s="1"/>
  <c r="Y14" i="33" s="1"/>
  <c r="Y15" i="33" s="1"/>
  <c r="Y16" i="33" s="1"/>
  <c r="Y17" i="33" s="1"/>
  <c r="J6" i="33"/>
  <c r="J7" i="33" s="1"/>
  <c r="J8" i="33" s="1"/>
  <c r="J9" i="33" s="1"/>
  <c r="J10" i="33" s="1"/>
  <c r="J11" i="33" s="1"/>
  <c r="J12" i="33" s="1"/>
  <c r="J13" i="33" s="1"/>
  <c r="J14" i="33" s="1"/>
  <c r="J15" i="33" s="1"/>
  <c r="J16" i="33" s="1"/>
  <c r="J17" i="33" s="1"/>
  <c r="J17" i="32"/>
  <c r="J16" i="32"/>
  <c r="J14" i="32"/>
  <c r="J13" i="32"/>
  <c r="J12" i="32"/>
  <c r="J11" i="32"/>
  <c r="J9" i="32"/>
  <c r="J8" i="32"/>
  <c r="J7" i="32"/>
  <c r="Y17" i="31"/>
  <c r="Y16" i="31"/>
  <c r="Y15" i="31"/>
  <c r="J15" i="31"/>
  <c r="Y14" i="31"/>
  <c r="Y13" i="31"/>
  <c r="Y12" i="31"/>
  <c r="Y11" i="31"/>
  <c r="Y10" i="31"/>
  <c r="J10" i="31"/>
  <c r="Y9" i="31"/>
  <c r="Y8" i="31"/>
  <c r="Y7" i="31"/>
  <c r="Y6" i="31"/>
  <c r="J6" i="31"/>
  <c r="Y6" i="30"/>
  <c r="Y7" i="30" s="1"/>
  <c r="Y8" i="30" s="1"/>
  <c r="Y9" i="30" s="1"/>
  <c r="Y10" i="30" s="1"/>
  <c r="Y11" i="30" s="1"/>
  <c r="Y12" i="30" s="1"/>
  <c r="Y13" i="30" s="1"/>
  <c r="Y14" i="30" s="1"/>
  <c r="Y15" i="30" s="1"/>
  <c r="Y16" i="30" s="1"/>
  <c r="Y17" i="30" s="1"/>
  <c r="J6" i="30"/>
  <c r="J7" i="30" s="1"/>
  <c r="J8" i="30" s="1"/>
  <c r="J9" i="30" s="1"/>
  <c r="J10" i="30" s="1"/>
  <c r="J11" i="30" s="1"/>
  <c r="J12" i="30" s="1"/>
  <c r="J13" i="30" s="1"/>
  <c r="J14" i="30" s="1"/>
  <c r="J15" i="30" s="1"/>
  <c r="J16" i="30" s="1"/>
  <c r="J17" i="30" s="1"/>
  <c r="Y6" i="29"/>
  <c r="Y7" i="29" s="1"/>
  <c r="Y8" i="29" s="1"/>
  <c r="Y9" i="29" s="1"/>
  <c r="Y10" i="29" s="1"/>
  <c r="Y11" i="29" s="1"/>
  <c r="Y12" i="29" s="1"/>
  <c r="Y13" i="29" s="1"/>
  <c r="Y14" i="29" s="1"/>
  <c r="Y15" i="29" s="1"/>
  <c r="Y16" i="29" s="1"/>
  <c r="Y17" i="29" s="1"/>
  <c r="J6" i="29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7" i="28"/>
  <c r="J16" i="28"/>
  <c r="J14" i="28"/>
  <c r="J13" i="28"/>
  <c r="J12" i="28"/>
  <c r="J6" i="36"/>
  <c r="J7" i="36" s="1"/>
  <c r="J8" i="36" s="1"/>
  <c r="J9" i="36" s="1"/>
  <c r="J10" i="36" s="1"/>
  <c r="J11" i="36" s="1"/>
  <c r="J12" i="36" s="1"/>
  <c r="J13" i="36" s="1"/>
  <c r="J14" i="36" s="1"/>
  <c r="J15" i="36" s="1"/>
  <c r="J16" i="36" s="1"/>
  <c r="J17" i="36" s="1"/>
  <c r="Y6" i="35"/>
  <c r="Y7" i="35" s="1"/>
  <c r="Y8" i="35" s="1"/>
  <c r="Y9" i="35" s="1"/>
  <c r="Y10" i="35" s="1"/>
  <c r="Y11" i="35" s="1"/>
  <c r="Y12" i="35" s="1"/>
  <c r="Y13" i="35" s="1"/>
  <c r="Y14" i="35" s="1"/>
  <c r="Y15" i="35" s="1"/>
  <c r="Y16" i="35" s="1"/>
  <c r="Y17" i="35" s="1"/>
  <c r="J6" i="34"/>
  <c r="J7" i="34" s="1"/>
  <c r="J8" i="34" s="1"/>
  <c r="J9" i="34" s="1"/>
  <c r="J10" i="34" s="1"/>
  <c r="J11" i="34" s="1"/>
  <c r="J12" i="34" s="1"/>
  <c r="J13" i="34" s="1"/>
  <c r="J14" i="34" s="1"/>
  <c r="J15" i="34" s="1"/>
  <c r="J16" i="34" s="1"/>
  <c r="J17" i="34" s="1"/>
  <c r="J15" i="32"/>
  <c r="J10" i="32"/>
  <c r="J6" i="32"/>
  <c r="J17" i="31"/>
  <c r="J16" i="31"/>
  <c r="J14" i="31"/>
  <c r="J13" i="31"/>
  <c r="J12" i="31"/>
  <c r="J11" i="31"/>
  <c r="J9" i="31"/>
  <c r="J8" i="31"/>
  <c r="J7" i="31"/>
  <c r="J15" i="28"/>
  <c r="Y11" i="28"/>
  <c r="Y10" i="28"/>
  <c r="J10" i="28"/>
  <c r="Y9" i="28"/>
  <c r="Y8" i="28"/>
  <c r="Y7" i="28"/>
  <c r="Y6" i="28"/>
  <c r="J6" i="28"/>
  <c r="Y6" i="36"/>
  <c r="Y7" i="36" s="1"/>
  <c r="Y8" i="36" s="1"/>
  <c r="Y9" i="36" s="1"/>
  <c r="Y10" i="36" s="1"/>
  <c r="Y11" i="36" s="1"/>
  <c r="Y12" i="36" s="1"/>
  <c r="Y13" i="36" s="1"/>
  <c r="Y14" i="36" s="1"/>
  <c r="Y15" i="36" s="1"/>
  <c r="Y16" i="36" s="1"/>
  <c r="Y17" i="36" s="1"/>
  <c r="J6" i="35"/>
  <c r="J7" i="35" s="1"/>
  <c r="J8" i="35" s="1"/>
  <c r="J9" i="35" s="1"/>
  <c r="J10" i="35" s="1"/>
  <c r="J11" i="35" s="1"/>
  <c r="J12" i="35" s="1"/>
  <c r="J13" i="35" s="1"/>
  <c r="J14" i="35" s="1"/>
  <c r="J15" i="35" s="1"/>
  <c r="J16" i="35" s="1"/>
  <c r="J17" i="35" s="1"/>
  <c r="Y6" i="34"/>
  <c r="Y7" i="34" s="1"/>
  <c r="Y8" i="34" s="1"/>
  <c r="Y9" i="34" s="1"/>
  <c r="Y10" i="34" s="1"/>
  <c r="Y11" i="34" s="1"/>
  <c r="Y12" i="34" s="1"/>
  <c r="Y13" i="34" s="1"/>
  <c r="Y14" i="34" s="1"/>
  <c r="Y15" i="34" s="1"/>
  <c r="Y16" i="34" s="1"/>
  <c r="Y17" i="34" s="1"/>
  <c r="Y17" i="32"/>
  <c r="Y16" i="32"/>
  <c r="Y15" i="32"/>
  <c r="Y14" i="32"/>
  <c r="Y13" i="32"/>
  <c r="Y12" i="32"/>
  <c r="Y11" i="32"/>
  <c r="Y10" i="32"/>
  <c r="Y9" i="32"/>
  <c r="Y8" i="32"/>
  <c r="Y7" i="32"/>
  <c r="Y6" i="32"/>
  <c r="Y17" i="28"/>
  <c r="Y16" i="28"/>
  <c r="Y15" i="28"/>
  <c r="Y14" i="28"/>
  <c r="Y13" i="28"/>
  <c r="Y12" i="28"/>
  <c r="J11" i="28"/>
  <c r="J9" i="28"/>
  <c r="J8" i="28"/>
  <c r="J7" i="28"/>
  <c r="AD32" i="25"/>
  <c r="AD35" i="25" s="1"/>
  <c r="B44" i="25"/>
  <c r="L44" i="25" s="1"/>
  <c r="B48" i="25" s="1"/>
  <c r="AD26" i="25"/>
  <c r="AD27" i="25" s="1"/>
  <c r="AD28" i="25" s="1"/>
  <c r="K19" i="19"/>
  <c r="K54" i="19"/>
  <c r="H19" i="19"/>
  <c r="G55" i="19"/>
  <c r="G21" i="19"/>
  <c r="H18" i="19"/>
  <c r="T6" i="4"/>
  <c r="T6" i="5"/>
  <c r="Z6" i="5"/>
  <c r="Z7" i="5" s="1"/>
  <c r="Z8" i="5" s="1"/>
  <c r="Z9" i="5" s="1"/>
  <c r="Z10" i="5" s="1"/>
  <c r="Z11" i="5" s="1"/>
  <c r="Z12" i="5" s="1"/>
  <c r="Z13" i="5" s="1"/>
  <c r="Z14" i="5" s="1"/>
  <c r="Z15" i="5" s="1"/>
  <c r="Z16" i="5" s="1"/>
  <c r="Z17" i="5" s="1"/>
  <c r="Z6" i="4"/>
  <c r="Z7" i="4" s="1"/>
  <c r="Z8" i="4" s="1"/>
  <c r="Z9" i="4" s="1"/>
  <c r="Z10" i="4" s="1"/>
  <c r="Z11" i="4" s="1"/>
  <c r="Z12" i="4" s="1"/>
  <c r="Z13" i="4" s="1"/>
  <c r="Z14" i="4" s="1"/>
  <c r="Z15" i="4" s="1"/>
  <c r="Z16" i="4" s="1"/>
  <c r="Z17" i="4" s="1"/>
  <c r="Y6" i="5"/>
  <c r="Y6" i="4"/>
  <c r="L30" i="19"/>
  <c r="H30" i="19"/>
  <c r="H29" i="19"/>
  <c r="L20" i="6"/>
  <c r="N20" i="6"/>
  <c r="L22" i="6"/>
  <c r="N22" i="6"/>
  <c r="N23" i="6"/>
  <c r="L23" i="6"/>
  <c r="N17" i="6"/>
  <c r="L17" i="6"/>
  <c r="L16" i="6"/>
  <c r="N16" i="6"/>
  <c r="L18" i="6"/>
  <c r="N18" i="6"/>
  <c r="N21" i="6"/>
  <c r="L21" i="6"/>
  <c r="L19" i="6"/>
  <c r="N19" i="6"/>
  <c r="L36" i="19"/>
  <c r="L32" i="19"/>
  <c r="L34" i="19"/>
  <c r="H34" i="19"/>
  <c r="L29" i="19"/>
  <c r="H36" i="19"/>
  <c r="H32" i="19"/>
  <c r="J37" i="19"/>
  <c r="K20" i="19"/>
  <c r="K56" i="19"/>
  <c r="L19" i="19"/>
  <c r="I19" i="19"/>
  <c r="I55" i="19"/>
  <c r="J18" i="19"/>
  <c r="G22" i="19"/>
  <c r="G58" i="19"/>
  <c r="H21" i="19"/>
  <c r="C23" i="13"/>
  <c r="T7" i="32" l="1"/>
  <c r="E7" i="35"/>
  <c r="E8" i="35" s="1"/>
  <c r="E9" i="35" s="1"/>
  <c r="E10" i="35" s="1"/>
  <c r="E11" i="35" s="1"/>
  <c r="E12" i="35" s="1"/>
  <c r="E13" i="35" s="1"/>
  <c r="E14" i="35" s="1"/>
  <c r="E15" i="35" s="1"/>
  <c r="E16" i="35" s="1"/>
  <c r="E17" i="35" s="1"/>
  <c r="E7" i="28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7" i="32"/>
  <c r="E7" i="29"/>
  <c r="E8" i="29" s="1"/>
  <c r="E9" i="29" s="1"/>
  <c r="E10" i="29" s="1"/>
  <c r="E11" i="29" s="1"/>
  <c r="E12" i="29" s="1"/>
  <c r="E13" i="29" s="1"/>
  <c r="E14" i="29" s="1"/>
  <c r="E15" i="29" s="1"/>
  <c r="E16" i="29" s="1"/>
  <c r="E17" i="29" s="1"/>
  <c r="E7" i="30"/>
  <c r="E8" i="30" s="1"/>
  <c r="E9" i="30" s="1"/>
  <c r="E10" i="30" s="1"/>
  <c r="E11" i="30" s="1"/>
  <c r="E12" i="30" s="1"/>
  <c r="E13" i="30" s="1"/>
  <c r="E14" i="30" s="1"/>
  <c r="E15" i="30" s="1"/>
  <c r="E16" i="30" s="1"/>
  <c r="E17" i="30" s="1"/>
  <c r="E7" i="31"/>
  <c r="E8" i="31" s="1"/>
  <c r="E9" i="31" s="1"/>
  <c r="E10" i="31" s="1"/>
  <c r="E11" i="31" s="1"/>
  <c r="E12" i="31" s="1"/>
  <c r="E13" i="31" s="1"/>
  <c r="E14" i="31" s="1"/>
  <c r="E15" i="31" s="1"/>
  <c r="E16" i="31" s="1"/>
  <c r="E17" i="31" s="1"/>
  <c r="T7" i="34"/>
  <c r="T7" i="36"/>
  <c r="E7" i="34"/>
  <c r="E7" i="36"/>
  <c r="T17" i="35"/>
  <c r="T17" i="33"/>
  <c r="E17" i="33"/>
  <c r="T17" i="31"/>
  <c r="T17" i="30"/>
  <c r="T17" i="29"/>
  <c r="T17" i="28"/>
  <c r="S44" i="25"/>
  <c r="AC44" i="25" s="1"/>
  <c r="S52" i="25" s="1"/>
  <c r="Y7" i="5"/>
  <c r="Y7" i="4"/>
  <c r="T7" i="5"/>
  <c r="T7" i="4"/>
  <c r="L37" i="19"/>
  <c r="H37" i="19"/>
  <c r="G59" i="19"/>
  <c r="H22" i="19"/>
  <c r="G23" i="19"/>
  <c r="I56" i="19"/>
  <c r="J19" i="19"/>
  <c r="I20" i="19"/>
  <c r="K57" i="19"/>
  <c r="L20" i="19"/>
  <c r="K21" i="19"/>
  <c r="G58" i="11"/>
  <c r="G60" i="11"/>
  <c r="G61" i="11"/>
  <c r="G54" i="11"/>
  <c r="G57" i="11"/>
  <c r="G55" i="11"/>
  <c r="F62" i="11"/>
  <c r="G59" i="11"/>
  <c r="G56" i="11"/>
  <c r="E18" i="28" l="1"/>
  <c r="E18" i="35"/>
  <c r="E8" i="34"/>
  <c r="T8" i="36"/>
  <c r="T8" i="34"/>
  <c r="E8" i="36"/>
  <c r="E18" i="31"/>
  <c r="E18" i="30"/>
  <c r="E18" i="29"/>
  <c r="E8" i="32"/>
  <c r="T8" i="32"/>
  <c r="T18" i="35"/>
  <c r="E18" i="33"/>
  <c r="T18" i="33"/>
  <c r="T18" i="31"/>
  <c r="T18" i="30"/>
  <c r="T18" i="29"/>
  <c r="T18" i="28"/>
  <c r="T8" i="4"/>
  <c r="Y8" i="4"/>
  <c r="Y8" i="5"/>
  <c r="T8" i="5"/>
  <c r="H23" i="19"/>
  <c r="G60" i="19"/>
  <c r="I21" i="19"/>
  <c r="I57" i="19"/>
  <c r="J20" i="19"/>
  <c r="K22" i="19"/>
  <c r="K58" i="19"/>
  <c r="L21" i="19"/>
  <c r="G62" i="11"/>
  <c r="H62" i="11" s="1"/>
  <c r="E19" i="14"/>
  <c r="C28" i="13"/>
  <c r="C27" i="13"/>
  <c r="C26" i="13"/>
  <c r="D26" i="13" s="1"/>
  <c r="C25" i="13"/>
  <c r="D25" i="13" s="1"/>
  <c r="C24" i="13"/>
  <c r="G13" i="13"/>
  <c r="F13" i="13"/>
  <c r="E13" i="13"/>
  <c r="D13" i="13"/>
  <c r="C13" i="13"/>
  <c r="I11" i="13"/>
  <c r="I10" i="13"/>
  <c r="I9" i="13"/>
  <c r="I8" i="13"/>
  <c r="I7" i="13"/>
  <c r="I6" i="13"/>
  <c r="E9" i="32" l="1"/>
  <c r="T9" i="34"/>
  <c r="T9" i="36"/>
  <c r="T9" i="32"/>
  <c r="E9" i="36"/>
  <c r="E9" i="34"/>
  <c r="Y9" i="5"/>
  <c r="T9" i="4"/>
  <c r="T9" i="5"/>
  <c r="Y9" i="4"/>
  <c r="I58" i="19"/>
  <c r="J21" i="19"/>
  <c r="I22" i="19"/>
  <c r="K59" i="19"/>
  <c r="L22" i="19"/>
  <c r="K23" i="19"/>
  <c r="D23" i="13"/>
  <c r="D24" i="13"/>
  <c r="D27" i="13"/>
  <c r="D28" i="13"/>
  <c r="I13" i="13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H44" i="8"/>
  <c r="S47" i="8"/>
  <c r="S48" i="8"/>
  <c r="S49" i="8"/>
  <c r="S50" i="8"/>
  <c r="S51" i="8"/>
  <c r="S52" i="8"/>
  <c r="S53" i="8"/>
  <c r="S46" i="8"/>
  <c r="S45" i="8"/>
  <c r="V45" i="8"/>
  <c r="N45" i="8"/>
  <c r="Q47" i="8"/>
  <c r="Q48" i="8"/>
  <c r="Q49" i="8"/>
  <c r="Q50" i="8"/>
  <c r="Q51" i="8"/>
  <c r="Q52" i="8"/>
  <c r="Q53" i="8"/>
  <c r="Q46" i="8"/>
  <c r="Q45" i="8"/>
  <c r="N46" i="8"/>
  <c r="K47" i="8"/>
  <c r="K48" i="8"/>
  <c r="K49" i="8"/>
  <c r="K50" i="8"/>
  <c r="K51" i="8"/>
  <c r="K52" i="8"/>
  <c r="K53" i="8"/>
  <c r="K46" i="8"/>
  <c r="X53" i="8"/>
  <c r="W53" i="8"/>
  <c r="V53" i="8"/>
  <c r="U53" i="8"/>
  <c r="T53" i="8"/>
  <c r="R53" i="8"/>
  <c r="P53" i="8"/>
  <c r="O53" i="8"/>
  <c r="N53" i="8"/>
  <c r="M53" i="8"/>
  <c r="L53" i="8"/>
  <c r="J53" i="8"/>
  <c r="I53" i="8"/>
  <c r="H53" i="8"/>
  <c r="X52" i="8"/>
  <c r="W52" i="8"/>
  <c r="V52" i="8"/>
  <c r="U52" i="8"/>
  <c r="T52" i="8"/>
  <c r="R52" i="8"/>
  <c r="P52" i="8"/>
  <c r="O52" i="8"/>
  <c r="N52" i="8"/>
  <c r="M52" i="8"/>
  <c r="L52" i="8"/>
  <c r="J52" i="8"/>
  <c r="I52" i="8"/>
  <c r="H52" i="8"/>
  <c r="X51" i="8"/>
  <c r="W51" i="8"/>
  <c r="V51" i="8"/>
  <c r="U51" i="8"/>
  <c r="T51" i="8"/>
  <c r="R51" i="8"/>
  <c r="P51" i="8"/>
  <c r="O51" i="8"/>
  <c r="N51" i="8"/>
  <c r="M51" i="8"/>
  <c r="L51" i="8"/>
  <c r="J51" i="8"/>
  <c r="I51" i="8"/>
  <c r="H51" i="8"/>
  <c r="X50" i="8"/>
  <c r="W50" i="8"/>
  <c r="V50" i="8"/>
  <c r="U50" i="8"/>
  <c r="T50" i="8"/>
  <c r="R50" i="8"/>
  <c r="P50" i="8"/>
  <c r="O50" i="8"/>
  <c r="N50" i="8"/>
  <c r="M50" i="8"/>
  <c r="L50" i="8"/>
  <c r="J50" i="8"/>
  <c r="I50" i="8"/>
  <c r="H50" i="8"/>
  <c r="X49" i="8"/>
  <c r="W49" i="8"/>
  <c r="V49" i="8"/>
  <c r="U49" i="8"/>
  <c r="T49" i="8"/>
  <c r="R49" i="8"/>
  <c r="P49" i="8"/>
  <c r="O49" i="8"/>
  <c r="N49" i="8"/>
  <c r="M49" i="8"/>
  <c r="L49" i="8"/>
  <c r="J49" i="8"/>
  <c r="I49" i="8"/>
  <c r="H49" i="8"/>
  <c r="X48" i="8"/>
  <c r="W48" i="8"/>
  <c r="V48" i="8"/>
  <c r="U48" i="8"/>
  <c r="T48" i="8"/>
  <c r="R48" i="8"/>
  <c r="P48" i="8"/>
  <c r="O48" i="8"/>
  <c r="N48" i="8"/>
  <c r="M48" i="8"/>
  <c r="L48" i="8"/>
  <c r="J48" i="8"/>
  <c r="I48" i="8"/>
  <c r="H48" i="8"/>
  <c r="X47" i="8"/>
  <c r="W47" i="8"/>
  <c r="V47" i="8"/>
  <c r="U47" i="8"/>
  <c r="T47" i="8"/>
  <c r="R47" i="8"/>
  <c r="P47" i="8"/>
  <c r="O47" i="8"/>
  <c r="N47" i="8"/>
  <c r="M47" i="8"/>
  <c r="L47" i="8"/>
  <c r="J47" i="8"/>
  <c r="I47" i="8"/>
  <c r="H47" i="8"/>
  <c r="M46" i="8"/>
  <c r="L46" i="8"/>
  <c r="J46" i="8"/>
  <c r="I46" i="8"/>
  <c r="X46" i="8"/>
  <c r="W46" i="8"/>
  <c r="V46" i="8"/>
  <c r="U46" i="8"/>
  <c r="T46" i="8"/>
  <c r="R46" i="8"/>
  <c r="P46" i="8"/>
  <c r="O46" i="8"/>
  <c r="W45" i="8"/>
  <c r="U45" i="8"/>
  <c r="T45" i="8"/>
  <c r="R45" i="8"/>
  <c r="P45" i="8"/>
  <c r="O45" i="8"/>
  <c r="M45" i="8"/>
  <c r="L45" i="8"/>
  <c r="K45" i="8"/>
  <c r="J45" i="8"/>
  <c r="I45" i="8"/>
  <c r="E31" i="7"/>
  <c r="E33" i="7"/>
  <c r="F78" i="11"/>
  <c r="F9" i="11"/>
  <c r="G74" i="11"/>
  <c r="G75" i="11"/>
  <c r="G76" i="11"/>
  <c r="G77" i="11"/>
  <c r="G73" i="11"/>
  <c r="G72" i="11"/>
  <c r="G8" i="11"/>
  <c r="G7" i="11"/>
  <c r="G6" i="11"/>
  <c r="G5" i="11"/>
  <c r="E10" i="36" l="1"/>
  <c r="T10" i="32"/>
  <c r="T10" i="34"/>
  <c r="E10" i="34"/>
  <c r="T10" i="36"/>
  <c r="E10" i="32"/>
  <c r="Y10" i="4"/>
  <c r="T10" i="5"/>
  <c r="T10" i="4"/>
  <c r="Y10" i="5"/>
  <c r="F86" i="6"/>
  <c r="F59" i="19"/>
  <c r="L59" i="19" s="1"/>
  <c r="F82" i="6"/>
  <c r="F55" i="19"/>
  <c r="F96" i="6"/>
  <c r="F68" i="19"/>
  <c r="F85" i="6"/>
  <c r="F58" i="19"/>
  <c r="J58" i="19" s="1"/>
  <c r="F87" i="6"/>
  <c r="F60" i="19"/>
  <c r="F99" i="6"/>
  <c r="F71" i="19"/>
  <c r="F101" i="6"/>
  <c r="F73" i="19"/>
  <c r="F94" i="6"/>
  <c r="F66" i="19"/>
  <c r="F80" i="6"/>
  <c r="F53" i="19"/>
  <c r="F84" i="6"/>
  <c r="F57" i="19"/>
  <c r="F98" i="6"/>
  <c r="F70" i="19"/>
  <c r="F81" i="6"/>
  <c r="F54" i="19"/>
  <c r="F83" i="6"/>
  <c r="F56" i="19"/>
  <c r="F95" i="6"/>
  <c r="F67" i="19"/>
  <c r="F97" i="6"/>
  <c r="F69" i="19"/>
  <c r="F100" i="6"/>
  <c r="F72" i="19"/>
  <c r="K60" i="19"/>
  <c r="L23" i="19"/>
  <c r="I23" i="19"/>
  <c r="I59" i="19"/>
  <c r="J22" i="19"/>
  <c r="G9" i="11"/>
  <c r="G78" i="11"/>
  <c r="F47" i="6"/>
  <c r="F46" i="6"/>
  <c r="F45" i="6"/>
  <c r="F44" i="6"/>
  <c r="F43" i="6"/>
  <c r="F42" i="6"/>
  <c r="F41" i="6"/>
  <c r="F40" i="6"/>
  <c r="F61" i="6"/>
  <c r="F60" i="6"/>
  <c r="F59" i="6"/>
  <c r="F58" i="6"/>
  <c r="F57" i="6"/>
  <c r="F56" i="6"/>
  <c r="F55" i="6"/>
  <c r="F54" i="6"/>
  <c r="K40" i="6"/>
  <c r="K41" i="6" s="1"/>
  <c r="K42" i="6" s="1"/>
  <c r="K43" i="6" s="1"/>
  <c r="K44" i="6" s="1"/>
  <c r="K45" i="6" s="1"/>
  <c r="K46" i="6" s="1"/>
  <c r="K47" i="6" s="1"/>
  <c r="I40" i="6"/>
  <c r="I41" i="6" s="1"/>
  <c r="I42" i="6" s="1"/>
  <c r="I43" i="6" s="1"/>
  <c r="I44" i="6" s="1"/>
  <c r="I45" i="6" s="1"/>
  <c r="I46" i="6" s="1"/>
  <c r="I47" i="6" s="1"/>
  <c r="G40" i="6"/>
  <c r="G41" i="6" s="1"/>
  <c r="G42" i="6" s="1"/>
  <c r="G43" i="6" s="1"/>
  <c r="G44" i="6" s="1"/>
  <c r="G45" i="6" s="1"/>
  <c r="G46" i="6" s="1"/>
  <c r="G47" i="6" s="1"/>
  <c r="B1" i="5"/>
  <c r="B1" i="4"/>
  <c r="G6" i="5"/>
  <c r="G7" i="5"/>
  <c r="G15" i="5"/>
  <c r="G17" i="5"/>
  <c r="G16" i="5"/>
  <c r="G10" i="5"/>
  <c r="G17" i="4"/>
  <c r="G16" i="4"/>
  <c r="G15" i="4"/>
  <c r="K6" i="5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J6" i="5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E6" i="5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J6" i="4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E6" i="4"/>
  <c r="E7" i="4" s="1"/>
  <c r="E8" i="4" s="1"/>
  <c r="G8" i="4"/>
  <c r="E11" i="32" l="1"/>
  <c r="T11" i="36"/>
  <c r="E11" i="34"/>
  <c r="T11" i="34"/>
  <c r="T11" i="32"/>
  <c r="E11" i="36"/>
  <c r="H78" i="11"/>
  <c r="C33" i="14" s="1"/>
  <c r="F35" i="6" s="1"/>
  <c r="H9" i="11"/>
  <c r="L60" i="19"/>
  <c r="T11" i="5"/>
  <c r="Y11" i="5"/>
  <c r="T11" i="4"/>
  <c r="Y11" i="4"/>
  <c r="J59" i="19"/>
  <c r="F15" i="19"/>
  <c r="O15" i="19" s="1"/>
  <c r="F14" i="19"/>
  <c r="O14" i="19" s="1"/>
  <c r="F9" i="19"/>
  <c r="F10" i="19"/>
  <c r="O10" i="19" s="1"/>
  <c r="J69" i="19"/>
  <c r="H69" i="19"/>
  <c r="L69" i="19"/>
  <c r="O56" i="19"/>
  <c r="H56" i="19"/>
  <c r="L56" i="19"/>
  <c r="J56" i="19"/>
  <c r="L70" i="19"/>
  <c r="J70" i="19"/>
  <c r="H70" i="19"/>
  <c r="H53" i="19"/>
  <c r="L53" i="19"/>
  <c r="O53" i="19"/>
  <c r="J53" i="19"/>
  <c r="L71" i="19"/>
  <c r="H71" i="19"/>
  <c r="J71" i="19"/>
  <c r="O58" i="19"/>
  <c r="H58" i="19"/>
  <c r="L58" i="19"/>
  <c r="O55" i="19"/>
  <c r="L55" i="19"/>
  <c r="H55" i="19"/>
  <c r="J55" i="19"/>
  <c r="L72" i="19"/>
  <c r="J72" i="19"/>
  <c r="H72" i="19"/>
  <c r="L67" i="19"/>
  <c r="H67" i="19"/>
  <c r="J67" i="19"/>
  <c r="O54" i="19"/>
  <c r="H54" i="19"/>
  <c r="J54" i="19"/>
  <c r="L54" i="19"/>
  <c r="H57" i="19"/>
  <c r="O57" i="19"/>
  <c r="L57" i="19"/>
  <c r="J57" i="19"/>
  <c r="J66" i="19"/>
  <c r="L66" i="19"/>
  <c r="H66" i="19"/>
  <c r="J73" i="19"/>
  <c r="H73" i="19"/>
  <c r="L73" i="19"/>
  <c r="O60" i="19"/>
  <c r="H60" i="19"/>
  <c r="J68" i="19"/>
  <c r="H68" i="19"/>
  <c r="L68" i="19"/>
  <c r="O59" i="19"/>
  <c r="H59" i="19"/>
  <c r="I60" i="19"/>
  <c r="J60" i="19" s="1"/>
  <c r="J23" i="19"/>
  <c r="F31" i="6"/>
  <c r="D71" i="16"/>
  <c r="D67" i="16"/>
  <c r="D66" i="16"/>
  <c r="D73" i="16"/>
  <c r="D69" i="16"/>
  <c r="D68" i="16"/>
  <c r="D72" i="16"/>
  <c r="D70" i="16"/>
  <c r="F33" i="6"/>
  <c r="D20" i="6"/>
  <c r="D17" i="6"/>
  <c r="D21" i="6"/>
  <c r="D16" i="6"/>
  <c r="F32" i="6"/>
  <c r="F36" i="6"/>
  <c r="F34" i="6"/>
  <c r="F38" i="6"/>
  <c r="D18" i="6"/>
  <c r="D22" i="6"/>
  <c r="D19" i="6"/>
  <c r="D23" i="6"/>
  <c r="S5" i="9"/>
  <c r="S6" i="9"/>
  <c r="S7" i="9"/>
  <c r="S8" i="9"/>
  <c r="S9" i="9"/>
  <c r="S10" i="9"/>
  <c r="S11" i="9"/>
  <c r="S12" i="9"/>
  <c r="S13" i="9"/>
  <c r="S4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C17" i="9"/>
  <c r="I87" i="6"/>
  <c r="I85" i="6"/>
  <c r="I83" i="6"/>
  <c r="I81" i="6"/>
  <c r="K55" i="6"/>
  <c r="K56" i="6"/>
  <c r="K57" i="6"/>
  <c r="K58" i="6"/>
  <c r="K59" i="6"/>
  <c r="K60" i="6"/>
  <c r="K61" i="6"/>
  <c r="K54" i="6"/>
  <c r="I55" i="6"/>
  <c r="I56" i="6"/>
  <c r="I57" i="6"/>
  <c r="I58" i="6"/>
  <c r="I59" i="6"/>
  <c r="I60" i="6"/>
  <c r="I61" i="6"/>
  <c r="I54" i="6"/>
  <c r="G55" i="6"/>
  <c r="G56" i="6"/>
  <c r="G57" i="6"/>
  <c r="G58" i="6"/>
  <c r="G59" i="6"/>
  <c r="G60" i="6"/>
  <c r="G61" i="6"/>
  <c r="G54" i="6"/>
  <c r="E38" i="7"/>
  <c r="D38" i="7"/>
  <c r="E12" i="36" l="1"/>
  <c r="T12" i="32"/>
  <c r="E12" i="34"/>
  <c r="T12" i="36"/>
  <c r="E12" i="32"/>
  <c r="T12" i="34"/>
  <c r="C32" i="14"/>
  <c r="C55" i="16" s="1"/>
  <c r="F7" i="19"/>
  <c r="O7" i="19" s="1"/>
  <c r="F8" i="19"/>
  <c r="O8" i="19" s="1"/>
  <c r="F12" i="19"/>
  <c r="O12" i="19" s="1"/>
  <c r="F30" i="6"/>
  <c r="F11" i="19"/>
  <c r="O11" i="19" s="1"/>
  <c r="F13" i="19"/>
  <c r="O13" i="19" s="1"/>
  <c r="F37" i="6"/>
  <c r="T12" i="5"/>
  <c r="Y12" i="4"/>
  <c r="T12" i="4"/>
  <c r="Y12" i="5"/>
  <c r="O9" i="19"/>
  <c r="F73" i="6"/>
  <c r="F47" i="19"/>
  <c r="O47" i="19" s="1"/>
  <c r="F78" i="6"/>
  <c r="F52" i="19"/>
  <c r="O52" i="19" s="1"/>
  <c r="F77" i="6"/>
  <c r="F51" i="19"/>
  <c r="O51" i="19" s="1"/>
  <c r="F72" i="6"/>
  <c r="F46" i="19"/>
  <c r="O46" i="19" s="1"/>
  <c r="H74" i="19"/>
  <c r="L74" i="19"/>
  <c r="F75" i="6"/>
  <c r="F49" i="19"/>
  <c r="O49" i="19" s="1"/>
  <c r="F71" i="6"/>
  <c r="F45" i="19"/>
  <c r="O45" i="19" s="1"/>
  <c r="F74" i="6"/>
  <c r="F48" i="19"/>
  <c r="O48" i="19" s="1"/>
  <c r="F76" i="6"/>
  <c r="F50" i="19"/>
  <c r="O50" i="19" s="1"/>
  <c r="J74" i="19"/>
  <c r="E13" i="6"/>
  <c r="G38" i="7"/>
  <c r="G87" i="6"/>
  <c r="G83" i="6"/>
  <c r="G81" i="6"/>
  <c r="K81" i="6"/>
  <c r="K85" i="6"/>
  <c r="I80" i="6"/>
  <c r="I82" i="6"/>
  <c r="I84" i="6"/>
  <c r="I86" i="6"/>
  <c r="K86" i="6"/>
  <c r="T13" i="34" l="1"/>
  <c r="E13" i="32"/>
  <c r="T13" i="36"/>
  <c r="T13" i="32"/>
  <c r="E13" i="34"/>
  <c r="E13" i="36"/>
  <c r="O24" i="19"/>
  <c r="O38" i="19" s="1"/>
  <c r="M81" i="19" s="1"/>
  <c r="W58" i="8"/>
  <c r="H59" i="8"/>
  <c r="H60" i="8"/>
  <c r="X59" i="8"/>
  <c r="I59" i="8"/>
  <c r="R61" i="8"/>
  <c r="O64" i="8"/>
  <c r="I75" i="6" s="1"/>
  <c r="N59" i="8"/>
  <c r="L62" i="8"/>
  <c r="G73" i="6" s="1"/>
  <c r="O58" i="8"/>
  <c r="R60" i="8"/>
  <c r="O63" i="8"/>
  <c r="O67" i="8"/>
  <c r="L61" i="8"/>
  <c r="G72" i="6" s="1"/>
  <c r="Q59" i="8"/>
  <c r="M59" i="8"/>
  <c r="J62" i="8"/>
  <c r="R65" i="8"/>
  <c r="J59" i="8"/>
  <c r="L64" i="8"/>
  <c r="G75" i="6" s="1"/>
  <c r="K59" i="8"/>
  <c r="L60" i="8"/>
  <c r="G71" i="6" s="1"/>
  <c r="R64" i="8"/>
  <c r="S59" i="8"/>
  <c r="L63" i="8"/>
  <c r="G74" i="6" s="1"/>
  <c r="T59" i="8"/>
  <c r="O62" i="8"/>
  <c r="O66" i="8"/>
  <c r="I77" i="6" s="1"/>
  <c r="O59" i="8"/>
  <c r="L66" i="8"/>
  <c r="P59" i="8"/>
  <c r="O61" i="8"/>
  <c r="O65" i="8"/>
  <c r="I50" i="19" s="1"/>
  <c r="J50" i="19" s="1"/>
  <c r="L59" i="8"/>
  <c r="L65" i="8"/>
  <c r="O60" i="8"/>
  <c r="R63" i="8"/>
  <c r="R67" i="8"/>
  <c r="U59" i="8"/>
  <c r="V59" i="8"/>
  <c r="W59" i="8"/>
  <c r="R62" i="8"/>
  <c r="R66" i="8"/>
  <c r="R59" i="8"/>
  <c r="K44" i="19" s="1"/>
  <c r="L67" i="8"/>
  <c r="Y13" i="5"/>
  <c r="T13" i="4"/>
  <c r="Y13" i="4"/>
  <c r="T13" i="5"/>
  <c r="F70" i="6"/>
  <c r="F44" i="19"/>
  <c r="O44" i="19" s="1"/>
  <c r="O61" i="19" s="1"/>
  <c r="O75" i="19" s="1"/>
  <c r="M82" i="19" s="1"/>
  <c r="J61" i="8"/>
  <c r="O22" i="8"/>
  <c r="I66" i="8"/>
  <c r="K61" i="8"/>
  <c r="V20" i="8"/>
  <c r="M25" i="8"/>
  <c r="Q67" i="8"/>
  <c r="N63" i="8"/>
  <c r="W20" i="8"/>
  <c r="K26" i="8"/>
  <c r="R22" i="8"/>
  <c r="M29" i="8"/>
  <c r="X67" i="8"/>
  <c r="U66" i="8"/>
  <c r="H62" i="8"/>
  <c r="S62" i="8"/>
  <c r="I20" i="8"/>
  <c r="S21" i="8"/>
  <c r="M23" i="8"/>
  <c r="K29" i="8"/>
  <c r="T21" i="8"/>
  <c r="P23" i="8"/>
  <c r="M27" i="8"/>
  <c r="W22" i="8"/>
  <c r="J25" i="8"/>
  <c r="H67" i="8"/>
  <c r="I67" i="8"/>
  <c r="Q66" i="8"/>
  <c r="P65" i="8"/>
  <c r="P62" i="8"/>
  <c r="T60" i="8"/>
  <c r="M63" i="8"/>
  <c r="M61" i="8"/>
  <c r="Q20" i="8"/>
  <c r="M21" i="8"/>
  <c r="I22" i="8"/>
  <c r="U22" i="8"/>
  <c r="K24" i="8"/>
  <c r="S27" i="8"/>
  <c r="N20" i="8"/>
  <c r="L21" i="8"/>
  <c r="G30" i="6" s="1"/>
  <c r="J22" i="8"/>
  <c r="H23" i="8"/>
  <c r="M24" i="8"/>
  <c r="M26" i="8"/>
  <c r="M28" i="8"/>
  <c r="O20" i="8"/>
  <c r="W27" i="8"/>
  <c r="H28" i="8"/>
  <c r="W64" i="8"/>
  <c r="W63" i="8"/>
  <c r="W62" i="8"/>
  <c r="M62" i="8"/>
  <c r="M20" i="8"/>
  <c r="U20" i="8"/>
  <c r="I21" i="8"/>
  <c r="O21" i="8"/>
  <c r="W21" i="8"/>
  <c r="K22" i="8"/>
  <c r="S22" i="8"/>
  <c r="K23" i="8"/>
  <c r="Q23" i="8"/>
  <c r="O25" i="8"/>
  <c r="W26" i="8"/>
  <c r="S28" i="8"/>
  <c r="W29" i="8"/>
  <c r="R20" i="8"/>
  <c r="H21" i="8"/>
  <c r="P21" i="8"/>
  <c r="X21" i="8"/>
  <c r="N22" i="8"/>
  <c r="V22" i="8"/>
  <c r="L23" i="8"/>
  <c r="U23" i="8"/>
  <c r="U24" i="8"/>
  <c r="U25" i="8"/>
  <c r="U26" i="8"/>
  <c r="U27" i="8"/>
  <c r="U28" i="8"/>
  <c r="U29" i="8"/>
  <c r="Q21" i="8"/>
  <c r="O24" i="8"/>
  <c r="L24" i="8"/>
  <c r="H26" i="8"/>
  <c r="W23" i="8"/>
  <c r="S24" i="8"/>
  <c r="W25" i="8"/>
  <c r="S26" i="8"/>
  <c r="O27" i="8"/>
  <c r="K28" i="8"/>
  <c r="W28" i="8"/>
  <c r="S29" i="8"/>
  <c r="J20" i="8"/>
  <c r="P20" i="8"/>
  <c r="T20" i="8"/>
  <c r="X20" i="8"/>
  <c r="J21" i="8"/>
  <c r="N21" i="8"/>
  <c r="R21" i="8"/>
  <c r="V21" i="8"/>
  <c r="H22" i="8"/>
  <c r="L22" i="8"/>
  <c r="P22" i="8"/>
  <c r="T22" i="8"/>
  <c r="X22" i="8"/>
  <c r="J23" i="8"/>
  <c r="N23" i="8"/>
  <c r="R23" i="8"/>
  <c r="I24" i="8"/>
  <c r="Q24" i="8"/>
  <c r="I25" i="8"/>
  <c r="Q25" i="8"/>
  <c r="I26" i="8"/>
  <c r="Q26" i="8"/>
  <c r="I27" i="8"/>
  <c r="Q27" i="8"/>
  <c r="I28" i="8"/>
  <c r="Q28" i="8"/>
  <c r="I29" i="8"/>
  <c r="Q29" i="8"/>
  <c r="K20" i="8"/>
  <c r="S20" i="8"/>
  <c r="M22" i="8"/>
  <c r="O23" i="8"/>
  <c r="K25" i="8"/>
  <c r="V23" i="8"/>
  <c r="T24" i="8"/>
  <c r="R25" i="8"/>
  <c r="T26" i="8"/>
  <c r="V29" i="8"/>
  <c r="K21" i="8"/>
  <c r="U21" i="8"/>
  <c r="Q22" i="8"/>
  <c r="I23" i="8"/>
  <c r="S23" i="8"/>
  <c r="W24" i="8"/>
  <c r="O26" i="8"/>
  <c r="O29" i="8"/>
  <c r="H24" i="8"/>
  <c r="P24" i="8"/>
  <c r="X24" i="8"/>
  <c r="N25" i="8"/>
  <c r="V25" i="8"/>
  <c r="L26" i="8"/>
  <c r="J27" i="8"/>
  <c r="X28" i="8"/>
  <c r="X58" i="8"/>
  <c r="J67" i="8"/>
  <c r="N65" i="8"/>
  <c r="S25" i="8"/>
  <c r="K27" i="8"/>
  <c r="O28" i="8"/>
  <c r="T23" i="8"/>
  <c r="X23" i="8"/>
  <c r="J24" i="8"/>
  <c r="N24" i="8"/>
  <c r="R24" i="8"/>
  <c r="V24" i="8"/>
  <c r="H25" i="8"/>
  <c r="L25" i="8"/>
  <c r="P25" i="8"/>
  <c r="T25" i="8"/>
  <c r="X25" i="8"/>
  <c r="J26" i="8"/>
  <c r="P26" i="8"/>
  <c r="X26" i="8"/>
  <c r="R27" i="8"/>
  <c r="P28" i="8"/>
  <c r="N29" i="8"/>
  <c r="P58" i="8"/>
  <c r="T66" i="8"/>
  <c r="V65" i="8"/>
  <c r="X64" i="8"/>
  <c r="N27" i="8"/>
  <c r="V27" i="8"/>
  <c r="L28" i="8"/>
  <c r="T28" i="8"/>
  <c r="J29" i="8"/>
  <c r="R29" i="8"/>
  <c r="H58" i="8"/>
  <c r="T58" i="8"/>
  <c r="K58" i="8"/>
  <c r="S58" i="8"/>
  <c r="V67" i="8"/>
  <c r="N67" i="8"/>
  <c r="X66" i="8"/>
  <c r="P66" i="8"/>
  <c r="H66" i="8"/>
  <c r="J65" i="8"/>
  <c r="L58" i="8"/>
  <c r="L20" i="8"/>
  <c r="H20" i="8"/>
  <c r="U58" i="8"/>
  <c r="Q58" i="8"/>
  <c r="M58" i="8"/>
  <c r="I58" i="8"/>
  <c r="V58" i="8"/>
  <c r="R58" i="8"/>
  <c r="N58" i="8"/>
  <c r="J58" i="8"/>
  <c r="X29" i="8"/>
  <c r="T29" i="8"/>
  <c r="P29" i="8"/>
  <c r="L29" i="8"/>
  <c r="H29" i="8"/>
  <c r="V28" i="8"/>
  <c r="R28" i="8"/>
  <c r="N28" i="8"/>
  <c r="J28" i="8"/>
  <c r="X27" i="8"/>
  <c r="T27" i="8"/>
  <c r="P27" i="8"/>
  <c r="L27" i="8"/>
  <c r="H27" i="8"/>
  <c r="V26" i="8"/>
  <c r="R26" i="8"/>
  <c r="N26" i="8"/>
  <c r="T67" i="8"/>
  <c r="P67" i="8"/>
  <c r="V66" i="8"/>
  <c r="N66" i="8"/>
  <c r="J66" i="8"/>
  <c r="X65" i="8"/>
  <c r="T65" i="8"/>
  <c r="H65" i="8"/>
  <c r="V64" i="8"/>
  <c r="N64" i="8"/>
  <c r="J64" i="8"/>
  <c r="X63" i="8"/>
  <c r="T63" i="8"/>
  <c r="P63" i="8"/>
  <c r="H63" i="8"/>
  <c r="V62" i="8"/>
  <c r="N62" i="8"/>
  <c r="X61" i="8"/>
  <c r="T61" i="8"/>
  <c r="W67" i="8"/>
  <c r="W66" i="8"/>
  <c r="W65" i="8"/>
  <c r="W61" i="8"/>
  <c r="P61" i="8"/>
  <c r="H61" i="8"/>
  <c r="V60" i="8"/>
  <c r="I65" i="8"/>
  <c r="I64" i="8"/>
  <c r="I63" i="8"/>
  <c r="I62" i="8"/>
  <c r="U60" i="8"/>
  <c r="K60" i="8"/>
  <c r="M66" i="8"/>
  <c r="M64" i="8"/>
  <c r="N60" i="8"/>
  <c r="M67" i="8"/>
  <c r="W60" i="8"/>
  <c r="U62" i="8"/>
  <c r="T64" i="8"/>
  <c r="P64" i="8"/>
  <c r="H64" i="8"/>
  <c r="V63" i="8"/>
  <c r="J63" i="8"/>
  <c r="X62" i="8"/>
  <c r="T62" i="8"/>
  <c r="V61" i="8"/>
  <c r="S67" i="8"/>
  <c r="K67" i="8"/>
  <c r="S66" i="8"/>
  <c r="K66" i="8"/>
  <c r="S65" i="8"/>
  <c r="K65" i="8"/>
  <c r="S64" i="8"/>
  <c r="K64" i="8"/>
  <c r="S63" i="8"/>
  <c r="K63" i="8"/>
  <c r="K62" i="8"/>
  <c r="S61" i="8"/>
  <c r="N61" i="8"/>
  <c r="X60" i="8"/>
  <c r="Q65" i="8"/>
  <c r="Q64" i="8"/>
  <c r="Q63" i="8"/>
  <c r="Q62" i="8"/>
  <c r="Q61" i="8"/>
  <c r="I61" i="8"/>
  <c r="Q60" i="8"/>
  <c r="M60" i="8"/>
  <c r="I60" i="8"/>
  <c r="U67" i="8"/>
  <c r="U65" i="8"/>
  <c r="U63" i="8"/>
  <c r="U61" i="8"/>
  <c r="S60" i="8"/>
  <c r="J60" i="8"/>
  <c r="U64" i="8"/>
  <c r="P60" i="8"/>
  <c r="M65" i="8"/>
  <c r="M83" i="19" l="1"/>
  <c r="M84" i="19" s="1"/>
  <c r="E14" i="36"/>
  <c r="T14" i="36"/>
  <c r="T14" i="34"/>
  <c r="E14" i="34"/>
  <c r="T14" i="32"/>
  <c r="E14" i="32"/>
  <c r="M32" i="8"/>
  <c r="G44" i="19"/>
  <c r="H44" i="19" s="1"/>
  <c r="G70" i="6"/>
  <c r="L44" i="19"/>
  <c r="T14" i="5"/>
  <c r="Y14" i="4"/>
  <c r="T14" i="4"/>
  <c r="Y14" i="5"/>
  <c r="K37" i="6"/>
  <c r="K14" i="19"/>
  <c r="L14" i="19" s="1"/>
  <c r="K36" i="6"/>
  <c r="L36" i="6" s="1"/>
  <c r="K13" i="19"/>
  <c r="L13" i="19" s="1"/>
  <c r="K34" i="6"/>
  <c r="K83" i="6" s="1"/>
  <c r="K11" i="19"/>
  <c r="L11" i="19" s="1"/>
  <c r="I32" i="6"/>
  <c r="J32" i="6" s="1"/>
  <c r="I9" i="19"/>
  <c r="J9" i="19" s="1"/>
  <c r="K32" i="6"/>
  <c r="L32" i="6" s="1"/>
  <c r="K9" i="19"/>
  <c r="L9" i="19" s="1"/>
  <c r="G33" i="6"/>
  <c r="G82" i="6" s="1"/>
  <c r="G10" i="19"/>
  <c r="H10" i="19" s="1"/>
  <c r="I34" i="6"/>
  <c r="J34" i="6" s="1"/>
  <c r="I11" i="19"/>
  <c r="J11" i="19" s="1"/>
  <c r="I31" i="6"/>
  <c r="J31" i="6" s="1"/>
  <c r="I8" i="19"/>
  <c r="J8" i="19" s="1"/>
  <c r="G37" i="6"/>
  <c r="G86" i="6" s="1"/>
  <c r="G14" i="19"/>
  <c r="H14" i="19" s="1"/>
  <c r="I38" i="6"/>
  <c r="I15" i="19"/>
  <c r="J15" i="19" s="1"/>
  <c r="K30" i="6"/>
  <c r="L30" i="6" s="1"/>
  <c r="K122" i="6" s="1"/>
  <c r="K7" i="19"/>
  <c r="L7" i="19" s="1"/>
  <c r="I33" i="6"/>
  <c r="J33" i="6" s="1"/>
  <c r="I10" i="19"/>
  <c r="J10" i="19" s="1"/>
  <c r="G32" i="6"/>
  <c r="H32" i="6" s="1"/>
  <c r="G9" i="19"/>
  <c r="H9" i="19" s="1"/>
  <c r="I30" i="6"/>
  <c r="J30" i="6" s="1"/>
  <c r="I122" i="6" s="1"/>
  <c r="I7" i="19"/>
  <c r="J7" i="19" s="1"/>
  <c r="G7" i="19"/>
  <c r="H7" i="19" s="1"/>
  <c r="K31" i="6"/>
  <c r="K80" i="6" s="1"/>
  <c r="K8" i="19"/>
  <c r="L8" i="19" s="1"/>
  <c r="G36" i="6"/>
  <c r="G85" i="6" s="1"/>
  <c r="G13" i="19"/>
  <c r="H13" i="19" s="1"/>
  <c r="K38" i="6"/>
  <c r="K87" i="6" s="1"/>
  <c r="K15" i="19"/>
  <c r="L15" i="19" s="1"/>
  <c r="K33" i="6"/>
  <c r="K82" i="6" s="1"/>
  <c r="K10" i="19"/>
  <c r="L10" i="19" s="1"/>
  <c r="I35" i="6"/>
  <c r="J35" i="6" s="1"/>
  <c r="I12" i="19"/>
  <c r="J12" i="19" s="1"/>
  <c r="S32" i="8"/>
  <c r="G31" i="6"/>
  <c r="G80" i="6" s="1"/>
  <c r="G8" i="19"/>
  <c r="H8" i="19" s="1"/>
  <c r="K35" i="6"/>
  <c r="K84" i="6" s="1"/>
  <c r="K12" i="19"/>
  <c r="L12" i="19" s="1"/>
  <c r="G38" i="6"/>
  <c r="H38" i="6" s="1"/>
  <c r="G15" i="19"/>
  <c r="H15" i="19" s="1"/>
  <c r="G34" i="6"/>
  <c r="H34" i="6" s="1"/>
  <c r="G11" i="19"/>
  <c r="H11" i="19" s="1"/>
  <c r="I37" i="6"/>
  <c r="J37" i="6" s="1"/>
  <c r="I14" i="19"/>
  <c r="J14" i="19" s="1"/>
  <c r="G35" i="6"/>
  <c r="G84" i="6" s="1"/>
  <c r="G12" i="19"/>
  <c r="H12" i="19" s="1"/>
  <c r="I36" i="6"/>
  <c r="J36" i="6" s="1"/>
  <c r="I13" i="19"/>
  <c r="J13" i="19" s="1"/>
  <c r="G46" i="19"/>
  <c r="H46" i="19" s="1"/>
  <c r="I78" i="6"/>
  <c r="I52" i="19"/>
  <c r="J52" i="19" s="1"/>
  <c r="K76" i="6"/>
  <c r="K50" i="19"/>
  <c r="L50" i="19" s="1"/>
  <c r="K71" i="6"/>
  <c r="K45" i="19"/>
  <c r="L45" i="19" s="1"/>
  <c r="G48" i="19"/>
  <c r="H48" i="19" s="1"/>
  <c r="G76" i="6"/>
  <c r="G50" i="19"/>
  <c r="H50" i="19" s="1"/>
  <c r="G77" i="6"/>
  <c r="G51" i="19"/>
  <c r="H51" i="19" s="1"/>
  <c r="G45" i="19"/>
  <c r="H45" i="19" s="1"/>
  <c r="I73" i="6"/>
  <c r="I47" i="19"/>
  <c r="J47" i="19" s="1"/>
  <c r="G49" i="19"/>
  <c r="H49" i="19" s="1"/>
  <c r="I49" i="19"/>
  <c r="J49" i="19" s="1"/>
  <c r="G47" i="19"/>
  <c r="H47" i="19" s="1"/>
  <c r="K74" i="6"/>
  <c r="K48" i="19"/>
  <c r="L48" i="19" s="1"/>
  <c r="I72" i="6"/>
  <c r="I46" i="19"/>
  <c r="J46" i="19" s="1"/>
  <c r="I51" i="19"/>
  <c r="J51" i="19" s="1"/>
  <c r="K73" i="6"/>
  <c r="K47" i="19"/>
  <c r="L47" i="19" s="1"/>
  <c r="K77" i="6"/>
  <c r="K51" i="19"/>
  <c r="L51" i="19" s="1"/>
  <c r="G78" i="6"/>
  <c r="G52" i="19"/>
  <c r="H52" i="19" s="1"/>
  <c r="I70" i="6"/>
  <c r="I44" i="19"/>
  <c r="J44" i="19" s="1"/>
  <c r="K75" i="6"/>
  <c r="K49" i="19"/>
  <c r="L49" i="19" s="1"/>
  <c r="I74" i="6"/>
  <c r="I48" i="19"/>
  <c r="J48" i="19" s="1"/>
  <c r="K78" i="6"/>
  <c r="K52" i="19"/>
  <c r="L52" i="19" s="1"/>
  <c r="I71" i="6"/>
  <c r="I45" i="19"/>
  <c r="J45" i="19" s="1"/>
  <c r="K72" i="6"/>
  <c r="K46" i="19"/>
  <c r="L46" i="19" s="1"/>
  <c r="O32" i="8"/>
  <c r="R32" i="8"/>
  <c r="J32" i="8"/>
  <c r="U32" i="8"/>
  <c r="K32" i="8"/>
  <c r="Q32" i="8"/>
  <c r="P32" i="8"/>
  <c r="N32" i="8"/>
  <c r="T32" i="8"/>
  <c r="R70" i="8"/>
  <c r="K70" i="6"/>
  <c r="O70" i="8"/>
  <c r="I76" i="6"/>
  <c r="P70" i="8"/>
  <c r="U70" i="8"/>
  <c r="S70" i="8"/>
  <c r="L70" i="8"/>
  <c r="J70" i="8"/>
  <c r="L32" i="8"/>
  <c r="N70" i="8"/>
  <c r="Q70" i="8"/>
  <c r="T70" i="8"/>
  <c r="M70" i="8"/>
  <c r="K70" i="8"/>
  <c r="K101" i="6"/>
  <c r="I101" i="6"/>
  <c r="G101" i="6"/>
  <c r="K100" i="6"/>
  <c r="I100" i="6"/>
  <c r="G100" i="6"/>
  <c r="K99" i="6"/>
  <c r="I99" i="6"/>
  <c r="G99" i="6"/>
  <c r="K98" i="6"/>
  <c r="I98" i="6"/>
  <c r="G98" i="6"/>
  <c r="K97" i="6"/>
  <c r="I97" i="6"/>
  <c r="G97" i="6"/>
  <c r="K96" i="6"/>
  <c r="I96" i="6"/>
  <c r="G96" i="6"/>
  <c r="K95" i="6"/>
  <c r="I95" i="6"/>
  <c r="G95" i="6"/>
  <c r="K94" i="6"/>
  <c r="I94" i="6"/>
  <c r="G94" i="6"/>
  <c r="M87" i="6"/>
  <c r="E87" i="6"/>
  <c r="J87" i="6" s="1"/>
  <c r="M86" i="6"/>
  <c r="E86" i="6"/>
  <c r="M85" i="6"/>
  <c r="E85" i="6"/>
  <c r="J85" i="6" s="1"/>
  <c r="M84" i="6"/>
  <c r="E84" i="6"/>
  <c r="M83" i="6"/>
  <c r="E83" i="6"/>
  <c r="J83" i="6" s="1"/>
  <c r="M82" i="6"/>
  <c r="E82" i="6"/>
  <c r="M81" i="6"/>
  <c r="E81" i="6"/>
  <c r="J81" i="6" s="1"/>
  <c r="M80" i="6"/>
  <c r="E80" i="6"/>
  <c r="M78" i="6"/>
  <c r="E78" i="6"/>
  <c r="M77" i="6"/>
  <c r="E77" i="6"/>
  <c r="J77" i="6" s="1"/>
  <c r="M76" i="6"/>
  <c r="E76" i="6"/>
  <c r="M75" i="6"/>
  <c r="E75" i="6"/>
  <c r="J75" i="6" s="1"/>
  <c r="M74" i="6"/>
  <c r="E74" i="6"/>
  <c r="M73" i="6"/>
  <c r="E73" i="6"/>
  <c r="M72" i="6"/>
  <c r="E72" i="6"/>
  <c r="M71" i="6"/>
  <c r="E71" i="6"/>
  <c r="M70" i="6"/>
  <c r="E70" i="6"/>
  <c r="H54" i="6"/>
  <c r="M47" i="6"/>
  <c r="Q47" i="6" s="1"/>
  <c r="L47" i="6"/>
  <c r="J47" i="6"/>
  <c r="H47" i="6"/>
  <c r="M46" i="6"/>
  <c r="Q46" i="6" s="1"/>
  <c r="L46" i="6"/>
  <c r="J46" i="6"/>
  <c r="H46" i="6"/>
  <c r="M45" i="6"/>
  <c r="Q45" i="6" s="1"/>
  <c r="L45" i="6"/>
  <c r="J45" i="6"/>
  <c r="H45" i="6"/>
  <c r="M44" i="6"/>
  <c r="Q44" i="6" s="1"/>
  <c r="L44" i="6"/>
  <c r="J44" i="6"/>
  <c r="H44" i="6"/>
  <c r="M43" i="6"/>
  <c r="Q43" i="6" s="1"/>
  <c r="L43" i="6"/>
  <c r="J43" i="6"/>
  <c r="H43" i="6"/>
  <c r="M42" i="6"/>
  <c r="Q42" i="6" s="1"/>
  <c r="L42" i="6"/>
  <c r="J42" i="6"/>
  <c r="H42" i="6"/>
  <c r="M41" i="6"/>
  <c r="Q41" i="6" s="1"/>
  <c r="L41" i="6"/>
  <c r="J41" i="6"/>
  <c r="H41" i="6"/>
  <c r="M40" i="6"/>
  <c r="Q40" i="6" s="1"/>
  <c r="Q48" i="6" s="1"/>
  <c r="M142" i="6" s="1"/>
  <c r="Q146" i="6" s="1"/>
  <c r="L40" i="6"/>
  <c r="L48" i="6" s="1"/>
  <c r="K142" i="6" s="1"/>
  <c r="J40" i="6"/>
  <c r="J48" i="6" s="1"/>
  <c r="I142" i="6" s="1"/>
  <c r="H40" i="6"/>
  <c r="H48" i="6" s="1"/>
  <c r="G142" i="6" s="1"/>
  <c r="M38" i="6"/>
  <c r="Q38" i="6" s="1"/>
  <c r="L38" i="6"/>
  <c r="J38" i="6"/>
  <c r="M37" i="6"/>
  <c r="Q37" i="6" s="1"/>
  <c r="L37" i="6"/>
  <c r="M36" i="6"/>
  <c r="Q36" i="6" s="1"/>
  <c r="M35" i="6"/>
  <c r="Q35" i="6" s="1"/>
  <c r="M34" i="6"/>
  <c r="Q34" i="6" s="1"/>
  <c r="L34" i="6"/>
  <c r="M33" i="6"/>
  <c r="Q33" i="6" s="1"/>
  <c r="M32" i="6"/>
  <c r="Q32" i="6" s="1"/>
  <c r="M31" i="6"/>
  <c r="Q31" i="6" s="1"/>
  <c r="M30" i="6"/>
  <c r="Q30" i="6" s="1"/>
  <c r="M122" i="6" s="1"/>
  <c r="Q126" i="6" s="1"/>
  <c r="S6" i="41" s="1"/>
  <c r="H30" i="6"/>
  <c r="G122" i="6" s="1"/>
  <c r="H31" i="6" l="1"/>
  <c r="H37" i="6"/>
  <c r="Q39" i="6"/>
  <c r="M132" i="6" s="1"/>
  <c r="S6" i="34"/>
  <c r="S6" i="32"/>
  <c r="X14" i="32" s="1"/>
  <c r="AB14" i="32" s="1"/>
  <c r="S6" i="39"/>
  <c r="S6" i="40"/>
  <c r="S6" i="38"/>
  <c r="S6" i="36"/>
  <c r="H24" i="19"/>
  <c r="H38" i="19" s="1"/>
  <c r="G81" i="19" s="1"/>
  <c r="J39" i="6"/>
  <c r="I132" i="6" s="1"/>
  <c r="X7" i="41"/>
  <c r="AB7" i="41" s="1"/>
  <c r="X6" i="41"/>
  <c r="X8" i="41"/>
  <c r="AB8" i="41" s="1"/>
  <c r="X9" i="41"/>
  <c r="AB9" i="41" s="1"/>
  <c r="X10" i="41"/>
  <c r="AB10" i="41" s="1"/>
  <c r="X11" i="41"/>
  <c r="AB11" i="41" s="1"/>
  <c r="X12" i="41"/>
  <c r="AB12" i="41" s="1"/>
  <c r="X13" i="41"/>
  <c r="AB13" i="41" s="1"/>
  <c r="X14" i="41"/>
  <c r="AB14" i="41" s="1"/>
  <c r="X15" i="41"/>
  <c r="AB15" i="41" s="1"/>
  <c r="X16" i="41"/>
  <c r="AB16" i="41" s="1"/>
  <c r="X17" i="41"/>
  <c r="AB17" i="41" s="1"/>
  <c r="L33" i="6"/>
  <c r="E15" i="32"/>
  <c r="E15" i="34"/>
  <c r="T15" i="36"/>
  <c r="X14" i="36"/>
  <c r="AB14" i="36" s="1"/>
  <c r="T15" i="32"/>
  <c r="X15" i="32" s="1"/>
  <c r="X14" i="34"/>
  <c r="AB14" i="34" s="1"/>
  <c r="T15" i="34"/>
  <c r="E15" i="36"/>
  <c r="S6" i="29"/>
  <c r="S6" i="28"/>
  <c r="S6" i="30"/>
  <c r="I126" i="6"/>
  <c r="J72" i="6"/>
  <c r="H36" i="6"/>
  <c r="J71" i="6"/>
  <c r="J78" i="6"/>
  <c r="J73" i="6"/>
  <c r="T15" i="5"/>
  <c r="Y15" i="5"/>
  <c r="T15" i="4"/>
  <c r="Y15" i="4"/>
  <c r="L31" i="6"/>
  <c r="H33" i="6"/>
  <c r="J24" i="19"/>
  <c r="J38" i="19" s="1"/>
  <c r="I81" i="19" s="1"/>
  <c r="L35" i="6"/>
  <c r="H61" i="19"/>
  <c r="H75" i="19" s="1"/>
  <c r="G82" i="19" s="1"/>
  <c r="L24" i="19"/>
  <c r="L38" i="19" s="1"/>
  <c r="K81" i="19" s="1"/>
  <c r="J70" i="6"/>
  <c r="I123" i="6" s="1"/>
  <c r="I124" i="6" s="1"/>
  <c r="J74" i="6"/>
  <c r="H35" i="6"/>
  <c r="L61" i="19"/>
  <c r="L75" i="19" s="1"/>
  <c r="K82" i="19" s="1"/>
  <c r="J61" i="19"/>
  <c r="J75" i="19" s="1"/>
  <c r="I82" i="19" s="1"/>
  <c r="J76" i="6"/>
  <c r="Q78" i="6"/>
  <c r="Q86" i="6"/>
  <c r="Q87" i="6"/>
  <c r="Q80" i="6"/>
  <c r="H81" i="6"/>
  <c r="Q75" i="6"/>
  <c r="Q76" i="6"/>
  <c r="Q77" i="6"/>
  <c r="Q70" i="6"/>
  <c r="M123" i="6" s="1"/>
  <c r="Q127" i="6" s="1"/>
  <c r="Q71" i="6"/>
  <c r="Q72" i="6"/>
  <c r="M152" i="6" s="1"/>
  <c r="Q73" i="6"/>
  <c r="H74" i="6"/>
  <c r="Q81" i="6"/>
  <c r="Q82" i="6"/>
  <c r="Q83" i="6"/>
  <c r="Q84" i="6"/>
  <c r="H85" i="6"/>
  <c r="Q74" i="6"/>
  <c r="Q85" i="6"/>
  <c r="L73" i="6"/>
  <c r="H76" i="6"/>
  <c r="H83" i="6"/>
  <c r="H87" i="6"/>
  <c r="L101" i="6"/>
  <c r="H97" i="6"/>
  <c r="H78" i="6"/>
  <c r="H72" i="6"/>
  <c r="H70" i="6"/>
  <c r="G123" i="6" s="1"/>
  <c r="L70" i="6"/>
  <c r="K123" i="6" s="1"/>
  <c r="H71" i="6"/>
  <c r="L72" i="6"/>
  <c r="H73" i="6"/>
  <c r="L74" i="6"/>
  <c r="H75" i="6"/>
  <c r="L76" i="6"/>
  <c r="H77" i="6"/>
  <c r="L78" i="6"/>
  <c r="H80" i="6"/>
  <c r="L81" i="6"/>
  <c r="H82" i="6"/>
  <c r="L83" i="6"/>
  <c r="H84" i="6"/>
  <c r="L85" i="6"/>
  <c r="H86" i="6"/>
  <c r="L87" i="6"/>
  <c r="L95" i="6"/>
  <c r="L99" i="6"/>
  <c r="L71" i="6"/>
  <c r="L75" i="6"/>
  <c r="K124" i="6" s="1"/>
  <c r="L77" i="6"/>
  <c r="L80" i="6"/>
  <c r="L82" i="6"/>
  <c r="L84" i="6"/>
  <c r="L86" i="6"/>
  <c r="H94" i="6"/>
  <c r="L94" i="6"/>
  <c r="J96" i="6"/>
  <c r="H98" i="6"/>
  <c r="L98" i="6"/>
  <c r="J100" i="6"/>
  <c r="L54" i="6"/>
  <c r="L55" i="6"/>
  <c r="H55" i="6"/>
  <c r="L56" i="6"/>
  <c r="H56" i="6"/>
  <c r="L57" i="6"/>
  <c r="H57" i="6"/>
  <c r="L58" i="6"/>
  <c r="H58" i="6"/>
  <c r="L59" i="6"/>
  <c r="H59" i="6"/>
  <c r="L60" i="6"/>
  <c r="H60" i="6"/>
  <c r="L61" i="6"/>
  <c r="H61" i="6"/>
  <c r="J54" i="6"/>
  <c r="J55" i="6"/>
  <c r="J56" i="6"/>
  <c r="J57" i="6"/>
  <c r="J58" i="6"/>
  <c r="J59" i="6"/>
  <c r="J60" i="6"/>
  <c r="J61" i="6"/>
  <c r="J94" i="6"/>
  <c r="H96" i="6"/>
  <c r="L96" i="6"/>
  <c r="J98" i="6"/>
  <c r="H100" i="6"/>
  <c r="L100" i="6"/>
  <c r="J80" i="6"/>
  <c r="J82" i="6"/>
  <c r="J84" i="6"/>
  <c r="J86" i="6"/>
  <c r="E7" i="5"/>
  <c r="Q79" i="6" l="1"/>
  <c r="M133" i="6" s="1"/>
  <c r="J79" i="6"/>
  <c r="I133" i="6" s="1"/>
  <c r="Q49" i="6"/>
  <c r="Q156" i="6"/>
  <c r="M154" i="6"/>
  <c r="M155" i="6" s="1"/>
  <c r="L39" i="6"/>
  <c r="K132" i="6" s="1"/>
  <c r="G124" i="6"/>
  <c r="X15" i="36"/>
  <c r="X15" i="34"/>
  <c r="AB15" i="34" s="1"/>
  <c r="X6" i="36"/>
  <c r="AB6" i="36" s="1"/>
  <c r="X7" i="36"/>
  <c r="AB7" i="36" s="1"/>
  <c r="X8" i="36"/>
  <c r="AB8" i="36" s="1"/>
  <c r="X9" i="36"/>
  <c r="AB9" i="36" s="1"/>
  <c r="X10" i="36"/>
  <c r="AB10" i="36" s="1"/>
  <c r="X11" i="36"/>
  <c r="AB11" i="36" s="1"/>
  <c r="X12" i="36"/>
  <c r="AB12" i="36" s="1"/>
  <c r="X13" i="36"/>
  <c r="AB13" i="36" s="1"/>
  <c r="X6" i="40"/>
  <c r="X8" i="40"/>
  <c r="AB8" i="40" s="1"/>
  <c r="X10" i="40"/>
  <c r="AB10" i="40" s="1"/>
  <c r="X12" i="40"/>
  <c r="AB12" i="40" s="1"/>
  <c r="X14" i="40"/>
  <c r="AB14" i="40" s="1"/>
  <c r="X16" i="40"/>
  <c r="AB16" i="40" s="1"/>
  <c r="X7" i="40"/>
  <c r="AB7" i="40" s="1"/>
  <c r="X9" i="40"/>
  <c r="AB9" i="40" s="1"/>
  <c r="X11" i="40"/>
  <c r="AB11" i="40" s="1"/>
  <c r="X13" i="40"/>
  <c r="AB13" i="40" s="1"/>
  <c r="X15" i="40"/>
  <c r="AB15" i="40" s="1"/>
  <c r="X17" i="40"/>
  <c r="AB17" i="40" s="1"/>
  <c r="X6" i="32"/>
  <c r="AB6" i="32" s="1"/>
  <c r="X7" i="32"/>
  <c r="AB7" i="32" s="1"/>
  <c r="X8" i="32"/>
  <c r="AB8" i="32" s="1"/>
  <c r="X9" i="32"/>
  <c r="AB9" i="32" s="1"/>
  <c r="X10" i="32"/>
  <c r="AB10" i="32" s="1"/>
  <c r="X11" i="32"/>
  <c r="AB11" i="32" s="1"/>
  <c r="X12" i="32"/>
  <c r="AB12" i="32" s="1"/>
  <c r="X13" i="32"/>
  <c r="AB13" i="32" s="1"/>
  <c r="X13" i="38"/>
  <c r="AB13" i="38" s="1"/>
  <c r="X6" i="38"/>
  <c r="X9" i="38"/>
  <c r="AB9" i="38" s="1"/>
  <c r="X11" i="38"/>
  <c r="AB11" i="38" s="1"/>
  <c r="X7" i="38"/>
  <c r="AB7" i="38" s="1"/>
  <c r="X8" i="38"/>
  <c r="AB8" i="38" s="1"/>
  <c r="X10" i="38"/>
  <c r="AB10" i="38" s="1"/>
  <c r="X12" i="38"/>
  <c r="AB12" i="38" s="1"/>
  <c r="X14" i="38"/>
  <c r="AB14" i="38" s="1"/>
  <c r="X15" i="38"/>
  <c r="AB15" i="38" s="1"/>
  <c r="X16" i="38"/>
  <c r="AB16" i="38" s="1"/>
  <c r="X17" i="38"/>
  <c r="AB17" i="38" s="1"/>
  <c r="X13" i="39"/>
  <c r="AB13" i="39" s="1"/>
  <c r="X6" i="39"/>
  <c r="X8" i="39"/>
  <c r="AB8" i="39" s="1"/>
  <c r="X10" i="39"/>
  <c r="AB10" i="39" s="1"/>
  <c r="X12" i="39"/>
  <c r="AB12" i="39" s="1"/>
  <c r="X14" i="39"/>
  <c r="AB14" i="39" s="1"/>
  <c r="X7" i="39"/>
  <c r="AB7" i="39" s="1"/>
  <c r="X9" i="39"/>
  <c r="AB9" i="39" s="1"/>
  <c r="X11" i="39"/>
  <c r="AB11" i="39" s="1"/>
  <c r="X15" i="39"/>
  <c r="AB15" i="39" s="1"/>
  <c r="X16" i="39"/>
  <c r="AB16" i="39" s="1"/>
  <c r="X17" i="39"/>
  <c r="AB17" i="39" s="1"/>
  <c r="X6" i="34"/>
  <c r="AB6" i="34" s="1"/>
  <c r="X7" i="34"/>
  <c r="AB7" i="34" s="1"/>
  <c r="X8" i="34"/>
  <c r="AB8" i="34" s="1"/>
  <c r="X9" i="34"/>
  <c r="AB9" i="34" s="1"/>
  <c r="X10" i="34"/>
  <c r="AB10" i="34" s="1"/>
  <c r="X11" i="34"/>
  <c r="AB11" i="34" s="1"/>
  <c r="X12" i="34"/>
  <c r="AB12" i="34" s="1"/>
  <c r="X13" i="34"/>
  <c r="AB13" i="34" s="1"/>
  <c r="H79" i="6"/>
  <c r="G133" i="6" s="1"/>
  <c r="L79" i="6"/>
  <c r="K133" i="6" s="1"/>
  <c r="H39" i="6"/>
  <c r="J49" i="6"/>
  <c r="L49" i="6"/>
  <c r="I125" i="6"/>
  <c r="AB6" i="41"/>
  <c r="AB18" i="41" s="1"/>
  <c r="X18" i="41"/>
  <c r="R13" i="41"/>
  <c r="J88" i="6"/>
  <c r="Q88" i="6"/>
  <c r="L88" i="6"/>
  <c r="H88" i="6"/>
  <c r="X15" i="28"/>
  <c r="X10" i="28"/>
  <c r="X15" i="30"/>
  <c r="X10" i="30"/>
  <c r="X15" i="29"/>
  <c r="X10" i="29"/>
  <c r="E16" i="36"/>
  <c r="T16" i="32"/>
  <c r="E16" i="34"/>
  <c r="E16" i="32"/>
  <c r="I127" i="6"/>
  <c r="T16" i="34"/>
  <c r="T16" i="36"/>
  <c r="AB15" i="36"/>
  <c r="R13" i="30"/>
  <c r="R13" i="29"/>
  <c r="R13" i="28"/>
  <c r="M124" i="6"/>
  <c r="M125" i="6" s="1"/>
  <c r="Q63" i="6"/>
  <c r="M109" i="6" s="1"/>
  <c r="Q113" i="6" s="1"/>
  <c r="Q136" i="6"/>
  <c r="C13" i="28"/>
  <c r="Y16" i="4"/>
  <c r="T16" i="4"/>
  <c r="Y16" i="5"/>
  <c r="T16" i="5"/>
  <c r="I83" i="19"/>
  <c r="K83" i="19"/>
  <c r="G83" i="19"/>
  <c r="L97" i="6"/>
  <c r="L102" i="6" s="1"/>
  <c r="K153" i="6" s="1"/>
  <c r="J95" i="6"/>
  <c r="H62" i="6"/>
  <c r="G152" i="6" s="1"/>
  <c r="L62" i="6"/>
  <c r="K152" i="6" s="1"/>
  <c r="J62" i="6"/>
  <c r="I152" i="6" s="1"/>
  <c r="H99" i="6"/>
  <c r="J101" i="6"/>
  <c r="H101" i="6"/>
  <c r="J97" i="6"/>
  <c r="H95" i="6"/>
  <c r="J99" i="6"/>
  <c r="D6" i="40" l="1"/>
  <c r="D6" i="39"/>
  <c r="D6" i="38"/>
  <c r="I156" i="6"/>
  <c r="K154" i="6"/>
  <c r="AB6" i="40"/>
  <c r="AB18" i="40" s="1"/>
  <c r="X18" i="40"/>
  <c r="AB6" i="39"/>
  <c r="AB18" i="39" s="1"/>
  <c r="X18" i="39"/>
  <c r="AB6" i="38"/>
  <c r="AB18" i="38" s="1"/>
  <c r="X18" i="38"/>
  <c r="G132" i="6"/>
  <c r="G134" i="6" s="1"/>
  <c r="H49" i="6"/>
  <c r="H63" i="6" s="1"/>
  <c r="G109" i="6" s="1"/>
  <c r="W6" i="41"/>
  <c r="W7" i="41"/>
  <c r="AA7" i="41" s="1"/>
  <c r="AC7" i="41" s="1"/>
  <c r="AD7" i="41" s="1"/>
  <c r="W8" i="41"/>
  <c r="AA8" i="41" s="1"/>
  <c r="AC8" i="41" s="1"/>
  <c r="AD8" i="41" s="1"/>
  <c r="W9" i="41"/>
  <c r="AA9" i="41" s="1"/>
  <c r="AC9" i="41" s="1"/>
  <c r="AD9" i="41" s="1"/>
  <c r="W10" i="41"/>
  <c r="AA10" i="41" s="1"/>
  <c r="AC10" i="41" s="1"/>
  <c r="AD10" i="41" s="1"/>
  <c r="W11" i="41"/>
  <c r="AA11" i="41" s="1"/>
  <c r="AC11" i="41" s="1"/>
  <c r="AD11" i="41" s="1"/>
  <c r="W12" i="41"/>
  <c r="AA12" i="41" s="1"/>
  <c r="AC12" i="41" s="1"/>
  <c r="AD12" i="41" s="1"/>
  <c r="W13" i="41"/>
  <c r="AA13" i="41" s="1"/>
  <c r="AC13" i="41" s="1"/>
  <c r="AD13" i="41" s="1"/>
  <c r="W14" i="41"/>
  <c r="AA14" i="41" s="1"/>
  <c r="AC14" i="41" s="1"/>
  <c r="AD14" i="41" s="1"/>
  <c r="W15" i="41"/>
  <c r="AA15" i="41" s="1"/>
  <c r="AC15" i="41" s="1"/>
  <c r="AD15" i="41" s="1"/>
  <c r="W16" i="41"/>
  <c r="AA16" i="41" s="1"/>
  <c r="AC16" i="41" s="1"/>
  <c r="AD16" i="41" s="1"/>
  <c r="W17" i="41"/>
  <c r="AA17" i="41" s="1"/>
  <c r="AC17" i="41" s="1"/>
  <c r="AD17" i="41" s="1"/>
  <c r="L89" i="6"/>
  <c r="L103" i="6" s="1"/>
  <c r="K110" i="6" s="1"/>
  <c r="K143" i="6"/>
  <c r="K144" i="6" s="1"/>
  <c r="J89" i="6"/>
  <c r="I143" i="6"/>
  <c r="H89" i="6"/>
  <c r="G143" i="6"/>
  <c r="Q89" i="6"/>
  <c r="Q103" i="6" s="1"/>
  <c r="M110" i="6" s="1"/>
  <c r="Q114" i="6" s="1"/>
  <c r="M143" i="6"/>
  <c r="W15" i="29"/>
  <c r="W10" i="29"/>
  <c r="H15" i="28"/>
  <c r="H10" i="28"/>
  <c r="W15" i="28"/>
  <c r="W10" i="28"/>
  <c r="W15" i="30"/>
  <c r="W10" i="30"/>
  <c r="I134" i="6"/>
  <c r="E17" i="34"/>
  <c r="T17" i="32"/>
  <c r="X16" i="32"/>
  <c r="AB16" i="32" s="1"/>
  <c r="X16" i="36"/>
  <c r="AB16" i="36" s="1"/>
  <c r="T17" i="36"/>
  <c r="T17" i="34"/>
  <c r="X16" i="34"/>
  <c r="AB16" i="34" s="1"/>
  <c r="E17" i="32"/>
  <c r="E18" i="32" s="1"/>
  <c r="AB15" i="32"/>
  <c r="E17" i="36"/>
  <c r="S6" i="35"/>
  <c r="S6" i="33"/>
  <c r="S6" i="31"/>
  <c r="D6" i="28"/>
  <c r="D6" i="29"/>
  <c r="D6" i="30"/>
  <c r="C13" i="30"/>
  <c r="C13" i="29"/>
  <c r="J63" i="6"/>
  <c r="I109" i="6" s="1"/>
  <c r="Q137" i="6"/>
  <c r="K134" i="6"/>
  <c r="M134" i="6"/>
  <c r="M135" i="6" s="1"/>
  <c r="S6" i="4"/>
  <c r="S6" i="5"/>
  <c r="L63" i="6"/>
  <c r="K109" i="6" s="1"/>
  <c r="Y17" i="4"/>
  <c r="T17" i="5"/>
  <c r="Y17" i="5"/>
  <c r="T17" i="4"/>
  <c r="I84" i="19"/>
  <c r="H102" i="6"/>
  <c r="G153" i="6" s="1"/>
  <c r="J102" i="6"/>
  <c r="I153" i="6" s="1"/>
  <c r="I154" i="6" s="1"/>
  <c r="E8" i="5"/>
  <c r="E9" i="5" s="1"/>
  <c r="E10" i="5" s="1"/>
  <c r="I136" i="6" l="1"/>
  <c r="R13" i="33" s="1"/>
  <c r="I16" i="39"/>
  <c r="M16" i="39" s="1"/>
  <c r="I9" i="39"/>
  <c r="M9" i="39" s="1"/>
  <c r="I10" i="39"/>
  <c r="M10" i="39" s="1"/>
  <c r="I7" i="39"/>
  <c r="M7" i="39" s="1"/>
  <c r="I12" i="39"/>
  <c r="M12" i="39" s="1"/>
  <c r="I17" i="39"/>
  <c r="M17" i="39" s="1"/>
  <c r="I6" i="39"/>
  <c r="I8" i="39"/>
  <c r="M8" i="39" s="1"/>
  <c r="I11" i="39"/>
  <c r="M11" i="39" s="1"/>
  <c r="I13" i="39"/>
  <c r="M13" i="39" s="1"/>
  <c r="I15" i="39"/>
  <c r="M15" i="39" s="1"/>
  <c r="I14" i="39"/>
  <c r="M14" i="39" s="1"/>
  <c r="I16" i="38"/>
  <c r="M16" i="38" s="1"/>
  <c r="I6" i="38"/>
  <c r="I10" i="38"/>
  <c r="M10" i="38" s="1"/>
  <c r="I8" i="38"/>
  <c r="M8" i="38" s="1"/>
  <c r="I12" i="38"/>
  <c r="M12" i="38" s="1"/>
  <c r="I14" i="38"/>
  <c r="M14" i="38" s="1"/>
  <c r="I9" i="38"/>
  <c r="M9" i="38" s="1"/>
  <c r="I7" i="38"/>
  <c r="M7" i="38" s="1"/>
  <c r="I11" i="38"/>
  <c r="M11" i="38" s="1"/>
  <c r="I13" i="38"/>
  <c r="M13" i="38" s="1"/>
  <c r="I15" i="38"/>
  <c r="M15" i="38" s="1"/>
  <c r="I17" i="38"/>
  <c r="M17" i="38" s="1"/>
  <c r="I9" i="40"/>
  <c r="M9" i="40" s="1"/>
  <c r="I10" i="40"/>
  <c r="M10" i="40" s="1"/>
  <c r="I7" i="40"/>
  <c r="M7" i="40" s="1"/>
  <c r="I12" i="40"/>
  <c r="M12" i="40" s="1"/>
  <c r="I14" i="40"/>
  <c r="M14" i="40" s="1"/>
  <c r="I16" i="40"/>
  <c r="M16" i="40" s="1"/>
  <c r="I6" i="40"/>
  <c r="I8" i="40"/>
  <c r="M8" i="40" s="1"/>
  <c r="I11" i="40"/>
  <c r="M11" i="40" s="1"/>
  <c r="I13" i="40"/>
  <c r="M13" i="40" s="1"/>
  <c r="I15" i="40"/>
  <c r="M15" i="40" s="1"/>
  <c r="I17" i="40"/>
  <c r="M17" i="40" s="1"/>
  <c r="AA6" i="41"/>
  <c r="W18" i="41"/>
  <c r="I157" i="6"/>
  <c r="G154" i="6"/>
  <c r="I155" i="6" s="1"/>
  <c r="M144" i="6"/>
  <c r="M145" i="6" s="1"/>
  <c r="Q147" i="6"/>
  <c r="I146" i="6"/>
  <c r="R13" i="40" s="1"/>
  <c r="X15" i="4"/>
  <c r="AB15" i="4" s="1"/>
  <c r="X10" i="4"/>
  <c r="AB10" i="4" s="1"/>
  <c r="H15" i="30"/>
  <c r="H10" i="30"/>
  <c r="I15" i="29"/>
  <c r="I10" i="29"/>
  <c r="X15" i="31"/>
  <c r="X10" i="31"/>
  <c r="AB10" i="31" s="1"/>
  <c r="X15" i="35"/>
  <c r="AB15" i="35" s="1"/>
  <c r="X10" i="35"/>
  <c r="AB10" i="35" s="1"/>
  <c r="X15" i="5"/>
  <c r="AB15" i="5" s="1"/>
  <c r="X10" i="5"/>
  <c r="AB10" i="5" s="1"/>
  <c r="H15" i="29"/>
  <c r="H10" i="29"/>
  <c r="I15" i="30"/>
  <c r="I10" i="30"/>
  <c r="I15" i="28"/>
  <c r="I10" i="28"/>
  <c r="X15" i="33"/>
  <c r="AB15" i="33" s="1"/>
  <c r="X10" i="33"/>
  <c r="AB10" i="33" s="1"/>
  <c r="X7" i="5"/>
  <c r="AB7" i="5" s="1"/>
  <c r="I137" i="6"/>
  <c r="E18" i="36"/>
  <c r="X17" i="36"/>
  <c r="T18" i="36"/>
  <c r="M111" i="6"/>
  <c r="M112" i="6" s="1"/>
  <c r="X17" i="34"/>
  <c r="T18" i="34"/>
  <c r="X17" i="32"/>
  <c r="AB17" i="32" s="1"/>
  <c r="AB18" i="32" s="1"/>
  <c r="T18" i="32"/>
  <c r="E18" i="34"/>
  <c r="D6" i="35"/>
  <c r="D6" i="33"/>
  <c r="D6" i="31"/>
  <c r="X6" i="31"/>
  <c r="X7" i="31"/>
  <c r="AB7" i="31" s="1"/>
  <c r="X8" i="31"/>
  <c r="AB8" i="31" s="1"/>
  <c r="X9" i="31"/>
  <c r="AB9" i="31" s="1"/>
  <c r="X11" i="31"/>
  <c r="AB11" i="31" s="1"/>
  <c r="X12" i="31"/>
  <c r="AB12" i="31" s="1"/>
  <c r="X13" i="31"/>
  <c r="AB13" i="31" s="1"/>
  <c r="X14" i="31"/>
  <c r="AB14" i="31" s="1"/>
  <c r="AB15" i="31"/>
  <c r="X16" i="31"/>
  <c r="AB16" i="31" s="1"/>
  <c r="X17" i="31"/>
  <c r="AB17" i="31" s="1"/>
  <c r="X6" i="35"/>
  <c r="X7" i="35"/>
  <c r="AB7" i="35" s="1"/>
  <c r="X8" i="35"/>
  <c r="AB8" i="35" s="1"/>
  <c r="X9" i="35"/>
  <c r="AB9" i="35" s="1"/>
  <c r="X11" i="35"/>
  <c r="AB11" i="35" s="1"/>
  <c r="X12" i="35"/>
  <c r="AB12" i="35" s="1"/>
  <c r="X13" i="35"/>
  <c r="AB13" i="35" s="1"/>
  <c r="X14" i="35"/>
  <c r="AB14" i="35" s="1"/>
  <c r="X16" i="35"/>
  <c r="AB16" i="35" s="1"/>
  <c r="X17" i="35"/>
  <c r="AB17" i="35" s="1"/>
  <c r="R13" i="34"/>
  <c r="X6" i="33"/>
  <c r="X7" i="33"/>
  <c r="AB7" i="33" s="1"/>
  <c r="X8" i="33"/>
  <c r="AB8" i="33" s="1"/>
  <c r="X9" i="33"/>
  <c r="AB9" i="33" s="1"/>
  <c r="X11" i="33"/>
  <c r="AB11" i="33" s="1"/>
  <c r="X12" i="33"/>
  <c r="AB12" i="33" s="1"/>
  <c r="X13" i="33"/>
  <c r="AB13" i="33" s="1"/>
  <c r="X14" i="33"/>
  <c r="AB14" i="33" s="1"/>
  <c r="X16" i="33"/>
  <c r="AB16" i="33" s="1"/>
  <c r="X17" i="33"/>
  <c r="AB17" i="33" s="1"/>
  <c r="R13" i="35"/>
  <c r="J103" i="6"/>
  <c r="I110" i="6" s="1"/>
  <c r="I111" i="6" s="1"/>
  <c r="I144" i="6"/>
  <c r="H103" i="6"/>
  <c r="G110" i="6" s="1"/>
  <c r="G111" i="6" s="1"/>
  <c r="I135" i="6"/>
  <c r="X11" i="5"/>
  <c r="AB11" i="5" s="1"/>
  <c r="X13" i="5"/>
  <c r="AB13" i="5" s="1"/>
  <c r="X9" i="5"/>
  <c r="AB9" i="5" s="1"/>
  <c r="X14" i="5"/>
  <c r="AB14" i="5" s="1"/>
  <c r="X12" i="5"/>
  <c r="AB12" i="5" s="1"/>
  <c r="X8" i="5"/>
  <c r="AB8" i="5" s="1"/>
  <c r="X6" i="5"/>
  <c r="AB6" i="5" s="1"/>
  <c r="X16" i="5"/>
  <c r="AB16" i="5" s="1"/>
  <c r="X6" i="30"/>
  <c r="X7" i="30"/>
  <c r="AB7" i="30" s="1"/>
  <c r="X8" i="30"/>
  <c r="AB8" i="30" s="1"/>
  <c r="X9" i="30"/>
  <c r="AB9" i="30" s="1"/>
  <c r="AB10" i="30"/>
  <c r="X11" i="30"/>
  <c r="AB11" i="30" s="1"/>
  <c r="X12" i="30"/>
  <c r="AB12" i="30" s="1"/>
  <c r="X13" i="30"/>
  <c r="AB13" i="30" s="1"/>
  <c r="X14" i="30"/>
  <c r="AB14" i="30" s="1"/>
  <c r="AB15" i="30"/>
  <c r="X16" i="30"/>
  <c r="AB16" i="30" s="1"/>
  <c r="X17" i="30"/>
  <c r="AB17" i="30" s="1"/>
  <c r="X6" i="29"/>
  <c r="X7" i="29"/>
  <c r="AB7" i="29" s="1"/>
  <c r="X8" i="29"/>
  <c r="AB8" i="29" s="1"/>
  <c r="X9" i="29"/>
  <c r="AB9" i="29" s="1"/>
  <c r="AB10" i="29"/>
  <c r="X11" i="29"/>
  <c r="AB11" i="29" s="1"/>
  <c r="X12" i="29"/>
  <c r="AB12" i="29" s="1"/>
  <c r="X13" i="29"/>
  <c r="AB13" i="29" s="1"/>
  <c r="X14" i="29"/>
  <c r="AB14" i="29" s="1"/>
  <c r="AB15" i="29"/>
  <c r="X16" i="29"/>
  <c r="AB16" i="29" s="1"/>
  <c r="X17" i="29"/>
  <c r="AB17" i="29" s="1"/>
  <c r="X6" i="28"/>
  <c r="X7" i="28"/>
  <c r="AB7" i="28" s="1"/>
  <c r="X8" i="28"/>
  <c r="AB8" i="28" s="1"/>
  <c r="X9" i="28"/>
  <c r="AB9" i="28" s="1"/>
  <c r="AB10" i="28"/>
  <c r="X11" i="28"/>
  <c r="AB11" i="28" s="1"/>
  <c r="X12" i="28"/>
  <c r="AB12" i="28" s="1"/>
  <c r="X13" i="28"/>
  <c r="AB13" i="28" s="1"/>
  <c r="X14" i="28"/>
  <c r="AB14" i="28" s="1"/>
  <c r="AB15" i="28"/>
  <c r="X16" i="28"/>
  <c r="AB16" i="28" s="1"/>
  <c r="X17" i="28"/>
  <c r="AB17" i="28" s="1"/>
  <c r="X13" i="4"/>
  <c r="AB13" i="4" s="1"/>
  <c r="X9" i="4"/>
  <c r="AB9" i="4" s="1"/>
  <c r="X17" i="4"/>
  <c r="AB17" i="4" s="1"/>
  <c r="X11" i="4"/>
  <c r="AB11" i="4" s="1"/>
  <c r="X7" i="4"/>
  <c r="AB7" i="4" s="1"/>
  <c r="X16" i="4"/>
  <c r="AB16" i="4" s="1"/>
  <c r="X14" i="4"/>
  <c r="AB14" i="4" s="1"/>
  <c r="X12" i="4"/>
  <c r="AB12" i="4" s="1"/>
  <c r="X8" i="4"/>
  <c r="AB8" i="4" s="1"/>
  <c r="X6" i="4"/>
  <c r="AB6" i="4" s="1"/>
  <c r="K111" i="6"/>
  <c r="T18" i="4"/>
  <c r="X17" i="5"/>
  <c r="AB17" i="5" s="1"/>
  <c r="T18" i="5"/>
  <c r="E11" i="5"/>
  <c r="E12" i="5" s="1"/>
  <c r="E13" i="5" s="1"/>
  <c r="E14" i="5" s="1"/>
  <c r="E15" i="5" s="1"/>
  <c r="E9" i="4"/>
  <c r="E10" i="4" s="1"/>
  <c r="E11" i="4" s="1"/>
  <c r="E12" i="4" s="1"/>
  <c r="E13" i="4" s="1"/>
  <c r="E14" i="4" s="1"/>
  <c r="E15" i="4" s="1"/>
  <c r="E16" i="4" s="1"/>
  <c r="E17" i="4" s="1"/>
  <c r="G10" i="4"/>
  <c r="G9" i="4"/>
  <c r="G7" i="4"/>
  <c r="G6" i="4"/>
  <c r="G9" i="5"/>
  <c r="G8" i="5"/>
  <c r="R13" i="31" l="1"/>
  <c r="W10" i="31" s="1"/>
  <c r="AA10" i="31" s="1"/>
  <c r="AC10" i="31" s="1"/>
  <c r="AD10" i="31" s="1"/>
  <c r="M6" i="38"/>
  <c r="M18" i="38" s="1"/>
  <c r="I18" i="38"/>
  <c r="I18" i="40"/>
  <c r="M6" i="40"/>
  <c r="M18" i="40" s="1"/>
  <c r="M6" i="39"/>
  <c r="M18" i="39" s="1"/>
  <c r="I18" i="39"/>
  <c r="I113" i="6"/>
  <c r="AC6" i="41"/>
  <c r="AA18" i="41"/>
  <c r="T20" i="41" s="1"/>
  <c r="T21" i="41" s="1"/>
  <c r="H11" i="6"/>
  <c r="D6" i="41"/>
  <c r="C13" i="40"/>
  <c r="C13" i="39"/>
  <c r="C13" i="38"/>
  <c r="D6" i="34"/>
  <c r="D6" i="32"/>
  <c r="D6" i="36"/>
  <c r="R13" i="38"/>
  <c r="W7" i="38" s="1"/>
  <c r="AA7" i="38" s="1"/>
  <c r="AC7" i="38" s="1"/>
  <c r="AD7" i="38" s="1"/>
  <c r="R13" i="32"/>
  <c r="W15" i="32" s="1"/>
  <c r="AA15" i="32" s="1"/>
  <c r="AC15" i="32" s="1"/>
  <c r="AD15" i="32" s="1"/>
  <c r="R13" i="36"/>
  <c r="W10" i="36" s="1"/>
  <c r="AA10" i="36" s="1"/>
  <c r="AC10" i="36" s="1"/>
  <c r="AD10" i="36" s="1"/>
  <c r="R13" i="39"/>
  <c r="W6" i="39" s="1"/>
  <c r="W6" i="38"/>
  <c r="W14" i="38"/>
  <c r="AA14" i="38" s="1"/>
  <c r="AC14" i="38" s="1"/>
  <c r="AD14" i="38" s="1"/>
  <c r="W6" i="40"/>
  <c r="W7" i="40"/>
  <c r="AA7" i="40" s="1"/>
  <c r="AC7" i="40" s="1"/>
  <c r="AD7" i="40" s="1"/>
  <c r="W8" i="40"/>
  <c r="AA8" i="40" s="1"/>
  <c r="AC8" i="40" s="1"/>
  <c r="AD8" i="40" s="1"/>
  <c r="W9" i="40"/>
  <c r="AA9" i="40" s="1"/>
  <c r="AC9" i="40" s="1"/>
  <c r="AD9" i="40" s="1"/>
  <c r="W10" i="40"/>
  <c r="AA10" i="40" s="1"/>
  <c r="AC10" i="40" s="1"/>
  <c r="AD10" i="40" s="1"/>
  <c r="W11" i="40"/>
  <c r="AA11" i="40" s="1"/>
  <c r="AC11" i="40" s="1"/>
  <c r="AD11" i="40" s="1"/>
  <c r="W12" i="40"/>
  <c r="AA12" i="40" s="1"/>
  <c r="AC12" i="40" s="1"/>
  <c r="AD12" i="40" s="1"/>
  <c r="W13" i="40"/>
  <c r="AA13" i="40" s="1"/>
  <c r="AC13" i="40" s="1"/>
  <c r="AD13" i="40" s="1"/>
  <c r="W14" i="40"/>
  <c r="AA14" i="40" s="1"/>
  <c r="AC14" i="40" s="1"/>
  <c r="AD14" i="40" s="1"/>
  <c r="W15" i="40"/>
  <c r="AA15" i="40" s="1"/>
  <c r="AC15" i="40" s="1"/>
  <c r="AD15" i="40" s="1"/>
  <c r="W16" i="40"/>
  <c r="AA16" i="40" s="1"/>
  <c r="AC16" i="40" s="1"/>
  <c r="AD16" i="40" s="1"/>
  <c r="W17" i="40"/>
  <c r="AA17" i="40" s="1"/>
  <c r="AC17" i="40" s="1"/>
  <c r="AD17" i="40" s="1"/>
  <c r="W15" i="31"/>
  <c r="AA15" i="31" s="1"/>
  <c r="AC15" i="31" s="1"/>
  <c r="AD15" i="31" s="1"/>
  <c r="W15" i="35"/>
  <c r="AA15" i="35" s="1"/>
  <c r="AC15" i="35" s="1"/>
  <c r="AD15" i="35" s="1"/>
  <c r="W10" i="35"/>
  <c r="AA10" i="35" s="1"/>
  <c r="AC10" i="35" s="1"/>
  <c r="AD10" i="35" s="1"/>
  <c r="W15" i="34"/>
  <c r="AA15" i="34" s="1"/>
  <c r="AC15" i="34" s="1"/>
  <c r="AD15" i="34" s="1"/>
  <c r="W10" i="34"/>
  <c r="AA10" i="34" s="1"/>
  <c r="AC10" i="34" s="1"/>
  <c r="AD10" i="34" s="1"/>
  <c r="I15" i="31"/>
  <c r="M15" i="31" s="1"/>
  <c r="I10" i="31"/>
  <c r="M10" i="31" s="1"/>
  <c r="I15" i="35"/>
  <c r="M15" i="35" s="1"/>
  <c r="I10" i="35"/>
  <c r="M10" i="35" s="1"/>
  <c r="W15" i="33"/>
  <c r="AA15" i="33" s="1"/>
  <c r="AC15" i="33" s="1"/>
  <c r="AD15" i="33" s="1"/>
  <c r="W10" i="33"/>
  <c r="AA10" i="33" s="1"/>
  <c r="AC10" i="33" s="1"/>
  <c r="AD10" i="33" s="1"/>
  <c r="W15" i="36"/>
  <c r="AA15" i="36" s="1"/>
  <c r="AC15" i="36" s="1"/>
  <c r="AD15" i="36" s="1"/>
  <c r="I15" i="33"/>
  <c r="M15" i="33" s="1"/>
  <c r="I10" i="33"/>
  <c r="M10" i="33" s="1"/>
  <c r="D6" i="5"/>
  <c r="D6" i="4"/>
  <c r="I12" i="4" s="1"/>
  <c r="M12" i="4" s="1"/>
  <c r="AB17" i="34"/>
  <c r="AB18" i="34" s="1"/>
  <c r="X18" i="34"/>
  <c r="X18" i="32"/>
  <c r="AB17" i="36"/>
  <c r="AB18" i="36" s="1"/>
  <c r="X18" i="36"/>
  <c r="C13" i="35"/>
  <c r="C13" i="33"/>
  <c r="C13" i="31"/>
  <c r="W6" i="33"/>
  <c r="W7" i="33"/>
  <c r="AA7" i="33" s="1"/>
  <c r="AC7" i="33" s="1"/>
  <c r="AD7" i="33" s="1"/>
  <c r="W8" i="33"/>
  <c r="AA8" i="33" s="1"/>
  <c r="AC8" i="33" s="1"/>
  <c r="AD8" i="33" s="1"/>
  <c r="W9" i="33"/>
  <c r="AA9" i="33" s="1"/>
  <c r="AC9" i="33" s="1"/>
  <c r="AD9" i="33" s="1"/>
  <c r="W11" i="33"/>
  <c r="AA11" i="33" s="1"/>
  <c r="AC11" i="33" s="1"/>
  <c r="AD11" i="33" s="1"/>
  <c r="W12" i="33"/>
  <c r="AA12" i="33" s="1"/>
  <c r="AC12" i="33" s="1"/>
  <c r="AD12" i="33" s="1"/>
  <c r="W13" i="33"/>
  <c r="AA13" i="33" s="1"/>
  <c r="AC13" i="33" s="1"/>
  <c r="AD13" i="33" s="1"/>
  <c r="W14" i="33"/>
  <c r="AA14" i="33" s="1"/>
  <c r="AC14" i="33" s="1"/>
  <c r="AD14" i="33" s="1"/>
  <c r="W16" i="33"/>
  <c r="AA16" i="33" s="1"/>
  <c r="AC16" i="33" s="1"/>
  <c r="AD16" i="33" s="1"/>
  <c r="W17" i="33"/>
  <c r="AA17" i="33" s="1"/>
  <c r="AC17" i="33" s="1"/>
  <c r="AD17" i="33" s="1"/>
  <c r="W16" i="32"/>
  <c r="AA16" i="32" s="1"/>
  <c r="AC16" i="32" s="1"/>
  <c r="AD16" i="32" s="1"/>
  <c r="W8" i="36"/>
  <c r="AA8" i="36" s="1"/>
  <c r="AC8" i="36" s="1"/>
  <c r="AD8" i="36" s="1"/>
  <c r="W13" i="36"/>
  <c r="AA13" i="36" s="1"/>
  <c r="AC13" i="36" s="1"/>
  <c r="AD13" i="36" s="1"/>
  <c r="AB6" i="35"/>
  <c r="AB18" i="35" s="1"/>
  <c r="X18" i="35"/>
  <c r="AB6" i="31"/>
  <c r="AB18" i="31" s="1"/>
  <c r="X18" i="31"/>
  <c r="I6" i="33"/>
  <c r="I7" i="33"/>
  <c r="M7" i="33" s="1"/>
  <c r="I8" i="33"/>
  <c r="M8" i="33" s="1"/>
  <c r="I9" i="33"/>
  <c r="M9" i="33" s="1"/>
  <c r="I11" i="33"/>
  <c r="M11" i="33" s="1"/>
  <c r="I12" i="33"/>
  <c r="M12" i="33" s="1"/>
  <c r="I13" i="33"/>
  <c r="M13" i="33" s="1"/>
  <c r="I14" i="33"/>
  <c r="M14" i="33" s="1"/>
  <c r="I16" i="33"/>
  <c r="M16" i="33" s="1"/>
  <c r="I17" i="33"/>
  <c r="M17" i="33" s="1"/>
  <c r="G144" i="6"/>
  <c r="I145" i="6" s="1"/>
  <c r="I112" i="6" s="1"/>
  <c r="C13" i="41" s="1"/>
  <c r="I147" i="6"/>
  <c r="I114" i="6" s="1"/>
  <c r="W7" i="31"/>
  <c r="AA7" i="31" s="1"/>
  <c r="AC7" i="31" s="1"/>
  <c r="AD7" i="31" s="1"/>
  <c r="W9" i="31"/>
  <c r="AA9" i="31" s="1"/>
  <c r="AC9" i="31" s="1"/>
  <c r="AD9" i="31" s="1"/>
  <c r="W12" i="31"/>
  <c r="AA12" i="31" s="1"/>
  <c r="AC12" i="31" s="1"/>
  <c r="AD12" i="31" s="1"/>
  <c r="W14" i="31"/>
  <c r="AA14" i="31" s="1"/>
  <c r="AC14" i="31" s="1"/>
  <c r="AD14" i="31" s="1"/>
  <c r="W17" i="31"/>
  <c r="AA17" i="31" s="1"/>
  <c r="AC17" i="31" s="1"/>
  <c r="AD17" i="31" s="1"/>
  <c r="W6" i="35"/>
  <c r="W7" i="35"/>
  <c r="AA7" i="35" s="1"/>
  <c r="AC7" i="35" s="1"/>
  <c r="AD7" i="35" s="1"/>
  <c r="W8" i="35"/>
  <c r="AA8" i="35" s="1"/>
  <c r="AC8" i="35" s="1"/>
  <c r="AD8" i="35" s="1"/>
  <c r="W9" i="35"/>
  <c r="AA9" i="35" s="1"/>
  <c r="AC9" i="35" s="1"/>
  <c r="AD9" i="35" s="1"/>
  <c r="W11" i="35"/>
  <c r="AA11" i="35" s="1"/>
  <c r="AC11" i="35" s="1"/>
  <c r="AD11" i="35" s="1"/>
  <c r="W12" i="35"/>
  <c r="AA12" i="35" s="1"/>
  <c r="AC12" i="35" s="1"/>
  <c r="AD12" i="35" s="1"/>
  <c r="W13" i="35"/>
  <c r="AA13" i="35" s="1"/>
  <c r="AC13" i="35" s="1"/>
  <c r="AD13" i="35" s="1"/>
  <c r="W14" i="35"/>
  <c r="AA14" i="35" s="1"/>
  <c r="AC14" i="35" s="1"/>
  <c r="AD14" i="35" s="1"/>
  <c r="W16" i="35"/>
  <c r="AA16" i="35" s="1"/>
  <c r="AC16" i="35" s="1"/>
  <c r="AD16" i="35" s="1"/>
  <c r="W17" i="35"/>
  <c r="AA17" i="35" s="1"/>
  <c r="AC17" i="35" s="1"/>
  <c r="AD17" i="35" s="1"/>
  <c r="AB6" i="33"/>
  <c r="AB18" i="33" s="1"/>
  <c r="X18" i="33"/>
  <c r="W6" i="34"/>
  <c r="W7" i="34"/>
  <c r="AA7" i="34" s="1"/>
  <c r="AC7" i="34" s="1"/>
  <c r="AD7" i="34" s="1"/>
  <c r="W8" i="34"/>
  <c r="AA8" i="34" s="1"/>
  <c r="AC8" i="34" s="1"/>
  <c r="AD8" i="34" s="1"/>
  <c r="W9" i="34"/>
  <c r="AA9" i="34" s="1"/>
  <c r="AC9" i="34" s="1"/>
  <c r="AD9" i="34" s="1"/>
  <c r="W11" i="34"/>
  <c r="AA11" i="34" s="1"/>
  <c r="AC11" i="34" s="1"/>
  <c r="AD11" i="34" s="1"/>
  <c r="W12" i="34"/>
  <c r="AA12" i="34" s="1"/>
  <c r="AC12" i="34" s="1"/>
  <c r="AD12" i="34" s="1"/>
  <c r="W13" i="34"/>
  <c r="AA13" i="34" s="1"/>
  <c r="AC13" i="34" s="1"/>
  <c r="AD13" i="34" s="1"/>
  <c r="W14" i="34"/>
  <c r="AA14" i="34" s="1"/>
  <c r="AC14" i="34" s="1"/>
  <c r="AD14" i="34" s="1"/>
  <c r="W16" i="34"/>
  <c r="AA16" i="34" s="1"/>
  <c r="AC16" i="34" s="1"/>
  <c r="AD16" i="34" s="1"/>
  <c r="W17" i="34"/>
  <c r="AA17" i="34" s="1"/>
  <c r="I9" i="31"/>
  <c r="M9" i="31" s="1"/>
  <c r="I6" i="31"/>
  <c r="I7" i="31"/>
  <c r="M7" i="31" s="1"/>
  <c r="I8" i="31"/>
  <c r="M8" i="31" s="1"/>
  <c r="I11" i="31"/>
  <c r="M11" i="31" s="1"/>
  <c r="I12" i="31"/>
  <c r="M12" i="31" s="1"/>
  <c r="I13" i="31"/>
  <c r="M13" i="31" s="1"/>
  <c r="I14" i="31"/>
  <c r="M14" i="31" s="1"/>
  <c r="I16" i="31"/>
  <c r="M16" i="31" s="1"/>
  <c r="I17" i="31"/>
  <c r="M17" i="31" s="1"/>
  <c r="I6" i="35"/>
  <c r="I8" i="35"/>
  <c r="M8" i="35" s="1"/>
  <c r="I7" i="35"/>
  <c r="M7" i="35" s="1"/>
  <c r="I9" i="35"/>
  <c r="M9" i="35" s="1"/>
  <c r="I11" i="35"/>
  <c r="M11" i="35" s="1"/>
  <c r="I12" i="35"/>
  <c r="M12" i="35" s="1"/>
  <c r="I13" i="35"/>
  <c r="M13" i="35" s="1"/>
  <c r="I14" i="35"/>
  <c r="M14" i="35" s="1"/>
  <c r="I16" i="35"/>
  <c r="M16" i="35" s="1"/>
  <c r="I17" i="35"/>
  <c r="M17" i="35" s="1"/>
  <c r="AB18" i="5"/>
  <c r="W6" i="28"/>
  <c r="W7" i="28"/>
  <c r="AA7" i="28" s="1"/>
  <c r="AC7" i="28" s="1"/>
  <c r="AD7" i="28" s="1"/>
  <c r="W8" i="28"/>
  <c r="AA8" i="28" s="1"/>
  <c r="AC8" i="28" s="1"/>
  <c r="AD8" i="28" s="1"/>
  <c r="W9" i="28"/>
  <c r="AA9" i="28" s="1"/>
  <c r="AC9" i="28" s="1"/>
  <c r="AD9" i="28" s="1"/>
  <c r="AA10" i="28"/>
  <c r="AC10" i="28" s="1"/>
  <c r="AD10" i="28" s="1"/>
  <c r="W11" i="28"/>
  <c r="AA11" i="28" s="1"/>
  <c r="AC11" i="28" s="1"/>
  <c r="AD11" i="28" s="1"/>
  <c r="W12" i="28"/>
  <c r="AA12" i="28" s="1"/>
  <c r="AC12" i="28" s="1"/>
  <c r="AD12" i="28" s="1"/>
  <c r="W13" i="28"/>
  <c r="AA13" i="28" s="1"/>
  <c r="AC13" i="28" s="1"/>
  <c r="AD13" i="28" s="1"/>
  <c r="W14" i="28"/>
  <c r="AA14" i="28" s="1"/>
  <c r="AC14" i="28" s="1"/>
  <c r="AD14" i="28" s="1"/>
  <c r="AA15" i="28"/>
  <c r="AC15" i="28" s="1"/>
  <c r="AD15" i="28" s="1"/>
  <c r="W16" i="28"/>
  <c r="AA16" i="28" s="1"/>
  <c r="AC16" i="28" s="1"/>
  <c r="AD16" i="28" s="1"/>
  <c r="W17" i="28"/>
  <c r="AA17" i="28" s="1"/>
  <c r="AC17" i="28" s="1"/>
  <c r="AD17" i="28" s="1"/>
  <c r="W6" i="30"/>
  <c r="W7" i="30"/>
  <c r="AA7" i="30" s="1"/>
  <c r="AC7" i="30" s="1"/>
  <c r="AD7" i="30" s="1"/>
  <c r="W8" i="30"/>
  <c r="AA8" i="30" s="1"/>
  <c r="AC8" i="30" s="1"/>
  <c r="AD8" i="30" s="1"/>
  <c r="W9" i="30"/>
  <c r="AA9" i="30" s="1"/>
  <c r="AC9" i="30" s="1"/>
  <c r="AD9" i="30" s="1"/>
  <c r="AA10" i="30"/>
  <c r="AC10" i="30" s="1"/>
  <c r="AD10" i="30" s="1"/>
  <c r="W11" i="30"/>
  <c r="AA11" i="30" s="1"/>
  <c r="AC11" i="30" s="1"/>
  <c r="AD11" i="30" s="1"/>
  <c r="W12" i="30"/>
  <c r="AA12" i="30" s="1"/>
  <c r="W13" i="30"/>
  <c r="AA13" i="30" s="1"/>
  <c r="AC13" i="30" s="1"/>
  <c r="AD13" i="30" s="1"/>
  <c r="W14" i="30"/>
  <c r="AA14" i="30" s="1"/>
  <c r="AC14" i="30" s="1"/>
  <c r="AD14" i="30" s="1"/>
  <c r="AA15" i="30"/>
  <c r="AC15" i="30" s="1"/>
  <c r="AD15" i="30" s="1"/>
  <c r="W16" i="30"/>
  <c r="AA16" i="30" s="1"/>
  <c r="AC16" i="30" s="1"/>
  <c r="AD16" i="30" s="1"/>
  <c r="W17" i="30"/>
  <c r="AA17" i="30" s="1"/>
  <c r="AC17" i="30" s="1"/>
  <c r="AD17" i="30" s="1"/>
  <c r="AC12" i="30"/>
  <c r="AD12" i="30" s="1"/>
  <c r="AB6" i="30"/>
  <c r="X18" i="30"/>
  <c r="I6" i="29"/>
  <c r="M10" i="29"/>
  <c r="I8" i="29"/>
  <c r="M8" i="29" s="1"/>
  <c r="I7" i="29"/>
  <c r="M7" i="29" s="1"/>
  <c r="I9" i="29"/>
  <c r="M9" i="29" s="1"/>
  <c r="I11" i="29"/>
  <c r="M11" i="29" s="1"/>
  <c r="I12" i="29"/>
  <c r="M12" i="29" s="1"/>
  <c r="I13" i="29"/>
  <c r="M13" i="29" s="1"/>
  <c r="I14" i="29"/>
  <c r="M14" i="29" s="1"/>
  <c r="M15" i="29"/>
  <c r="I16" i="29"/>
  <c r="M16" i="29" s="1"/>
  <c r="I17" i="29"/>
  <c r="M17" i="29" s="1"/>
  <c r="AB6" i="28"/>
  <c r="AB18" i="28" s="1"/>
  <c r="X18" i="28"/>
  <c r="AB6" i="29"/>
  <c r="AB18" i="29" s="1"/>
  <c r="X18" i="29"/>
  <c r="W6" i="29"/>
  <c r="W7" i="29"/>
  <c r="AA7" i="29" s="1"/>
  <c r="AC7" i="29" s="1"/>
  <c r="AD7" i="29" s="1"/>
  <c r="W8" i="29"/>
  <c r="AA8" i="29" s="1"/>
  <c r="AC8" i="29" s="1"/>
  <c r="AD8" i="29" s="1"/>
  <c r="W9" i="29"/>
  <c r="AA9" i="29" s="1"/>
  <c r="AC9" i="29" s="1"/>
  <c r="AD9" i="29" s="1"/>
  <c r="AA10" i="29"/>
  <c r="AC10" i="29" s="1"/>
  <c r="AD10" i="29" s="1"/>
  <c r="W11" i="29"/>
  <c r="AA11" i="29" s="1"/>
  <c r="AC11" i="29" s="1"/>
  <c r="AD11" i="29" s="1"/>
  <c r="W12" i="29"/>
  <c r="AA12" i="29" s="1"/>
  <c r="AC12" i="29" s="1"/>
  <c r="AD12" i="29" s="1"/>
  <c r="W13" i="29"/>
  <c r="AA13" i="29" s="1"/>
  <c r="AC13" i="29" s="1"/>
  <c r="AD13" i="29" s="1"/>
  <c r="W14" i="29"/>
  <c r="AA14" i="29" s="1"/>
  <c r="AC14" i="29" s="1"/>
  <c r="AD14" i="29" s="1"/>
  <c r="AA15" i="29"/>
  <c r="AC15" i="29" s="1"/>
  <c r="AD15" i="29" s="1"/>
  <c r="W16" i="29"/>
  <c r="AA16" i="29" s="1"/>
  <c r="AC16" i="29" s="1"/>
  <c r="AD16" i="29" s="1"/>
  <c r="W17" i="29"/>
  <c r="AA17" i="29" s="1"/>
  <c r="AC17" i="29" s="1"/>
  <c r="AD17" i="29" s="1"/>
  <c r="AB18" i="30"/>
  <c r="I6" i="28"/>
  <c r="I7" i="28"/>
  <c r="M7" i="28" s="1"/>
  <c r="I8" i="28"/>
  <c r="M8" i="28" s="1"/>
  <c r="M10" i="28"/>
  <c r="I9" i="28"/>
  <c r="M9" i="28" s="1"/>
  <c r="I11" i="28"/>
  <c r="M11" i="28" s="1"/>
  <c r="I12" i="28"/>
  <c r="M12" i="28" s="1"/>
  <c r="I13" i="28"/>
  <c r="M13" i="28" s="1"/>
  <c r="I14" i="28"/>
  <c r="M14" i="28" s="1"/>
  <c r="M15" i="28"/>
  <c r="I16" i="28"/>
  <c r="M16" i="28" s="1"/>
  <c r="I17" i="28"/>
  <c r="M17" i="28" s="1"/>
  <c r="I6" i="30"/>
  <c r="M10" i="30"/>
  <c r="I8" i="30"/>
  <c r="M8" i="30" s="1"/>
  <c r="I7" i="30"/>
  <c r="M7" i="30" s="1"/>
  <c r="I9" i="30"/>
  <c r="M9" i="30" s="1"/>
  <c r="I11" i="30"/>
  <c r="M11" i="30" s="1"/>
  <c r="I12" i="30"/>
  <c r="M12" i="30" s="1"/>
  <c r="I13" i="30"/>
  <c r="M13" i="30" s="1"/>
  <c r="I14" i="30"/>
  <c r="M14" i="30" s="1"/>
  <c r="M15" i="30"/>
  <c r="I16" i="30"/>
  <c r="M16" i="30" s="1"/>
  <c r="I17" i="30"/>
  <c r="M17" i="30" s="1"/>
  <c r="AB18" i="4"/>
  <c r="X18" i="4"/>
  <c r="X18" i="5"/>
  <c r="E16" i="5"/>
  <c r="E18" i="4"/>
  <c r="W6" i="32" l="1"/>
  <c r="AA6" i="32" s="1"/>
  <c r="W16" i="31"/>
  <c r="AA16" i="31" s="1"/>
  <c r="AC16" i="31" s="1"/>
  <c r="AD16" i="31" s="1"/>
  <c r="W13" i="31"/>
  <c r="AA13" i="31" s="1"/>
  <c r="AC13" i="31" s="1"/>
  <c r="AD13" i="31" s="1"/>
  <c r="W11" i="31"/>
  <c r="AA11" i="31" s="1"/>
  <c r="AC11" i="31" s="1"/>
  <c r="AD11" i="31" s="1"/>
  <c r="W8" i="31"/>
  <c r="AA8" i="31" s="1"/>
  <c r="AC8" i="31" s="1"/>
  <c r="AD8" i="31" s="1"/>
  <c r="W6" i="31"/>
  <c r="AA6" i="31" s="1"/>
  <c r="W13" i="39"/>
  <c r="AA13" i="39" s="1"/>
  <c r="AC13" i="39" s="1"/>
  <c r="AD13" i="39" s="1"/>
  <c r="W17" i="36"/>
  <c r="AA17" i="36" s="1"/>
  <c r="W11" i="36"/>
  <c r="AA11" i="36" s="1"/>
  <c r="AC11" i="36" s="1"/>
  <c r="AD11" i="36" s="1"/>
  <c r="W6" i="36"/>
  <c r="AA6" i="36" s="1"/>
  <c r="W10" i="38"/>
  <c r="AA10" i="38" s="1"/>
  <c r="AC10" i="38" s="1"/>
  <c r="AD10" i="38" s="1"/>
  <c r="I16" i="5"/>
  <c r="M16" i="5" s="1"/>
  <c r="I11" i="4"/>
  <c r="M11" i="4" s="1"/>
  <c r="AC17" i="36"/>
  <c r="AD17" i="36" s="1"/>
  <c r="AD6" i="41"/>
  <c r="AD18" i="41" s="1"/>
  <c r="AC18" i="41"/>
  <c r="H10" i="41"/>
  <c r="L10" i="41" s="1"/>
  <c r="H9" i="41"/>
  <c r="L9" i="41" s="1"/>
  <c r="H6" i="41"/>
  <c r="H7" i="41"/>
  <c r="L7" i="41" s="1"/>
  <c r="H8" i="41"/>
  <c r="L8" i="41" s="1"/>
  <c r="H11" i="41"/>
  <c r="L11" i="41" s="1"/>
  <c r="H12" i="41"/>
  <c r="L12" i="41" s="1"/>
  <c r="H13" i="41"/>
  <c r="L13" i="41" s="1"/>
  <c r="H14" i="41"/>
  <c r="L14" i="41" s="1"/>
  <c r="H15" i="41"/>
  <c r="L15" i="41" s="1"/>
  <c r="H16" i="41"/>
  <c r="L16" i="41" s="1"/>
  <c r="H17" i="41"/>
  <c r="L17" i="41" s="1"/>
  <c r="I6" i="36"/>
  <c r="I7" i="36"/>
  <c r="M7" i="36" s="1"/>
  <c r="I8" i="36"/>
  <c r="M8" i="36" s="1"/>
  <c r="I9" i="36"/>
  <c r="M9" i="36" s="1"/>
  <c r="I10" i="36"/>
  <c r="M10" i="36" s="1"/>
  <c r="I11" i="36"/>
  <c r="M11" i="36" s="1"/>
  <c r="I12" i="36"/>
  <c r="M12" i="36" s="1"/>
  <c r="I13" i="36"/>
  <c r="M13" i="36" s="1"/>
  <c r="I14" i="36"/>
  <c r="M14" i="36" s="1"/>
  <c r="I15" i="36"/>
  <c r="M15" i="36" s="1"/>
  <c r="I16" i="36"/>
  <c r="M16" i="36" s="1"/>
  <c r="I17" i="36"/>
  <c r="M17" i="36" s="1"/>
  <c r="I6" i="34"/>
  <c r="I7" i="34"/>
  <c r="M7" i="34" s="1"/>
  <c r="I8" i="34"/>
  <c r="M8" i="34" s="1"/>
  <c r="I9" i="34"/>
  <c r="M9" i="34" s="1"/>
  <c r="I10" i="34"/>
  <c r="M10" i="34" s="1"/>
  <c r="I11" i="34"/>
  <c r="M11" i="34" s="1"/>
  <c r="I12" i="34"/>
  <c r="M12" i="34" s="1"/>
  <c r="I13" i="34"/>
  <c r="M13" i="34" s="1"/>
  <c r="I14" i="34"/>
  <c r="M14" i="34" s="1"/>
  <c r="I15" i="34"/>
  <c r="M15" i="34" s="1"/>
  <c r="I16" i="34"/>
  <c r="M16" i="34" s="1"/>
  <c r="I17" i="34"/>
  <c r="M17" i="34" s="1"/>
  <c r="I6" i="41"/>
  <c r="I7" i="41"/>
  <c r="M7" i="41" s="1"/>
  <c r="I8" i="41"/>
  <c r="M8" i="41" s="1"/>
  <c r="I10" i="41"/>
  <c r="M10" i="41" s="1"/>
  <c r="I9" i="41"/>
  <c r="M9" i="41" s="1"/>
  <c r="I11" i="41"/>
  <c r="M11" i="41" s="1"/>
  <c r="I12" i="41"/>
  <c r="M12" i="41" s="1"/>
  <c r="I13" i="41"/>
  <c r="M13" i="41" s="1"/>
  <c r="I14" i="41"/>
  <c r="M14" i="41" s="1"/>
  <c r="I15" i="41"/>
  <c r="M15" i="41" s="1"/>
  <c r="I16" i="41"/>
  <c r="M16" i="41" s="1"/>
  <c r="N16" i="41" s="1"/>
  <c r="O16" i="41" s="1"/>
  <c r="I17" i="41"/>
  <c r="M17" i="41" s="1"/>
  <c r="I6" i="32"/>
  <c r="I7" i="32"/>
  <c r="M7" i="32" s="1"/>
  <c r="I8" i="32"/>
  <c r="M8" i="32" s="1"/>
  <c r="I9" i="32"/>
  <c r="M9" i="32" s="1"/>
  <c r="I10" i="32"/>
  <c r="M10" i="32" s="1"/>
  <c r="I11" i="32"/>
  <c r="M11" i="32" s="1"/>
  <c r="I12" i="32"/>
  <c r="M12" i="32" s="1"/>
  <c r="I13" i="32"/>
  <c r="M13" i="32" s="1"/>
  <c r="I14" i="32"/>
  <c r="M14" i="32" s="1"/>
  <c r="I15" i="32"/>
  <c r="M15" i="32" s="1"/>
  <c r="I16" i="32"/>
  <c r="M16" i="32" s="1"/>
  <c r="I17" i="32"/>
  <c r="M17" i="32" s="1"/>
  <c r="W11" i="32"/>
  <c r="AA11" i="32" s="1"/>
  <c r="AC11" i="32" s="1"/>
  <c r="AD11" i="32" s="1"/>
  <c r="W10" i="32"/>
  <c r="AA10" i="32" s="1"/>
  <c r="AC10" i="32" s="1"/>
  <c r="AD10" i="32" s="1"/>
  <c r="W16" i="36"/>
  <c r="AA16" i="36" s="1"/>
  <c r="AC16" i="36" s="1"/>
  <c r="AD16" i="36" s="1"/>
  <c r="W14" i="36"/>
  <c r="AA14" i="36" s="1"/>
  <c r="AC14" i="36" s="1"/>
  <c r="AD14" i="36" s="1"/>
  <c r="W12" i="36"/>
  <c r="AA12" i="36" s="1"/>
  <c r="AC12" i="36" s="1"/>
  <c r="AD12" i="36" s="1"/>
  <c r="W9" i="36"/>
  <c r="AA9" i="36" s="1"/>
  <c r="AC9" i="36" s="1"/>
  <c r="AD9" i="36" s="1"/>
  <c r="W7" i="36"/>
  <c r="AA7" i="36" s="1"/>
  <c r="AC7" i="36" s="1"/>
  <c r="AD7" i="36" s="1"/>
  <c r="W16" i="38"/>
  <c r="AA16" i="38" s="1"/>
  <c r="AC16" i="38" s="1"/>
  <c r="AD16" i="38" s="1"/>
  <c r="W12" i="38"/>
  <c r="AA12" i="38" s="1"/>
  <c r="AC12" i="38" s="1"/>
  <c r="AD12" i="38" s="1"/>
  <c r="W8" i="38"/>
  <c r="AA8" i="38" s="1"/>
  <c r="AC8" i="38" s="1"/>
  <c r="AD8" i="38" s="1"/>
  <c r="W13" i="32"/>
  <c r="AA13" i="32" s="1"/>
  <c r="AC13" i="32" s="1"/>
  <c r="AD13" i="32" s="1"/>
  <c r="W8" i="32"/>
  <c r="AA8" i="32" s="1"/>
  <c r="AC8" i="32" s="1"/>
  <c r="AD8" i="32" s="1"/>
  <c r="W17" i="39"/>
  <c r="AA17" i="39" s="1"/>
  <c r="AC17" i="39" s="1"/>
  <c r="AD17" i="39" s="1"/>
  <c r="W9" i="39"/>
  <c r="AA9" i="39" s="1"/>
  <c r="AC9" i="39" s="1"/>
  <c r="AD9" i="39" s="1"/>
  <c r="W15" i="39"/>
  <c r="AA15" i="39" s="1"/>
  <c r="AC15" i="39" s="1"/>
  <c r="AD15" i="39" s="1"/>
  <c r="W11" i="39"/>
  <c r="AA11" i="39" s="1"/>
  <c r="AC11" i="39" s="1"/>
  <c r="AD11" i="39" s="1"/>
  <c r="W7" i="39"/>
  <c r="AA7" i="39" s="1"/>
  <c r="AC7" i="39" s="1"/>
  <c r="AD7" i="39" s="1"/>
  <c r="W17" i="38"/>
  <c r="AA17" i="38" s="1"/>
  <c r="AC17" i="38" s="1"/>
  <c r="AD17" i="38" s="1"/>
  <c r="W15" i="38"/>
  <c r="AA15" i="38" s="1"/>
  <c r="AC15" i="38" s="1"/>
  <c r="AD15" i="38" s="1"/>
  <c r="W13" i="38"/>
  <c r="AA13" i="38" s="1"/>
  <c r="AC13" i="38" s="1"/>
  <c r="AD13" i="38" s="1"/>
  <c r="W11" i="38"/>
  <c r="AA11" i="38" s="1"/>
  <c r="AC11" i="38" s="1"/>
  <c r="AD11" i="38" s="1"/>
  <c r="W9" i="38"/>
  <c r="AA9" i="38" s="1"/>
  <c r="AC9" i="38" s="1"/>
  <c r="AD9" i="38" s="1"/>
  <c r="W17" i="32"/>
  <c r="AA17" i="32" s="1"/>
  <c r="AC17" i="32" s="1"/>
  <c r="AD17" i="32" s="1"/>
  <c r="W14" i="32"/>
  <c r="AA14" i="32" s="1"/>
  <c r="AC14" i="32" s="1"/>
  <c r="AD14" i="32" s="1"/>
  <c r="W12" i="32"/>
  <c r="AA12" i="32" s="1"/>
  <c r="AC12" i="32" s="1"/>
  <c r="AD12" i="32" s="1"/>
  <c r="W9" i="32"/>
  <c r="AA9" i="32" s="1"/>
  <c r="AC9" i="32" s="1"/>
  <c r="AD9" i="32" s="1"/>
  <c r="W7" i="32"/>
  <c r="AA7" i="32" s="1"/>
  <c r="AC7" i="32" s="1"/>
  <c r="AD7" i="32" s="1"/>
  <c r="W16" i="39"/>
  <c r="AA16" i="39" s="1"/>
  <c r="AC16" i="39" s="1"/>
  <c r="AD16" i="39" s="1"/>
  <c r="W14" i="39"/>
  <c r="AA14" i="39" s="1"/>
  <c r="AC14" i="39" s="1"/>
  <c r="AD14" i="39" s="1"/>
  <c r="W12" i="39"/>
  <c r="AA12" i="39" s="1"/>
  <c r="AC12" i="39" s="1"/>
  <c r="AD12" i="39" s="1"/>
  <c r="W10" i="39"/>
  <c r="AA10" i="39" s="1"/>
  <c r="AC10" i="39" s="1"/>
  <c r="AD10" i="39" s="1"/>
  <c r="W8" i="39"/>
  <c r="AA8" i="39" s="1"/>
  <c r="AC8" i="39" s="1"/>
  <c r="AD8" i="39" s="1"/>
  <c r="AA6" i="40"/>
  <c r="W18" i="40"/>
  <c r="AA6" i="39"/>
  <c r="AA6" i="38"/>
  <c r="H15" i="31"/>
  <c r="L15" i="31" s="1"/>
  <c r="N15" i="31" s="1"/>
  <c r="O15" i="31" s="1"/>
  <c r="H10" i="31"/>
  <c r="L10" i="31" s="1"/>
  <c r="N10" i="31" s="1"/>
  <c r="O10" i="31" s="1"/>
  <c r="H15" i="35"/>
  <c r="L15" i="35" s="1"/>
  <c r="N15" i="35" s="1"/>
  <c r="O15" i="35" s="1"/>
  <c r="H10" i="35"/>
  <c r="L10" i="35" s="1"/>
  <c r="N10" i="35" s="1"/>
  <c r="O10" i="35" s="1"/>
  <c r="I15" i="4"/>
  <c r="M15" i="4" s="1"/>
  <c r="I10" i="4"/>
  <c r="H15" i="33"/>
  <c r="H10" i="33"/>
  <c r="L10" i="33" s="1"/>
  <c r="N10" i="33" s="1"/>
  <c r="O10" i="33" s="1"/>
  <c r="I7" i="5"/>
  <c r="M7" i="5" s="1"/>
  <c r="I15" i="5"/>
  <c r="I10" i="5"/>
  <c r="I12" i="5"/>
  <c r="M12" i="5" s="1"/>
  <c r="I13" i="5"/>
  <c r="M13" i="5" s="1"/>
  <c r="I6" i="5"/>
  <c r="M6" i="5" s="1"/>
  <c r="M10" i="5"/>
  <c r="M10" i="4"/>
  <c r="I16" i="4"/>
  <c r="M16" i="4" s="1"/>
  <c r="I7" i="4"/>
  <c r="M7" i="4" s="1"/>
  <c r="I6" i="4"/>
  <c r="M6" i="4" s="1"/>
  <c r="I14" i="5"/>
  <c r="M14" i="5" s="1"/>
  <c r="I11" i="5"/>
  <c r="M11" i="5" s="1"/>
  <c r="M15" i="5"/>
  <c r="I9" i="5"/>
  <c r="M9" i="5" s="1"/>
  <c r="I8" i="5"/>
  <c r="M8" i="5" s="1"/>
  <c r="I8" i="4"/>
  <c r="M8" i="4" s="1"/>
  <c r="I14" i="4"/>
  <c r="M14" i="4" s="1"/>
  <c r="C13" i="4"/>
  <c r="H8" i="4" s="1"/>
  <c r="I13" i="4"/>
  <c r="M13" i="4" s="1"/>
  <c r="I17" i="4"/>
  <c r="M17" i="4" s="1"/>
  <c r="I9" i="4"/>
  <c r="M9" i="4" s="1"/>
  <c r="AC17" i="34"/>
  <c r="AD17" i="34" s="1"/>
  <c r="H10" i="6"/>
  <c r="M6" i="35"/>
  <c r="M18" i="35" s="1"/>
  <c r="I18" i="35"/>
  <c r="M6" i="31"/>
  <c r="M18" i="31" s="1"/>
  <c r="I18" i="31"/>
  <c r="AA6" i="34"/>
  <c r="W18" i="34"/>
  <c r="AA6" i="33"/>
  <c r="W18" i="33"/>
  <c r="H6" i="33"/>
  <c r="H7" i="33"/>
  <c r="L7" i="33" s="1"/>
  <c r="N7" i="33" s="1"/>
  <c r="O7" i="33" s="1"/>
  <c r="H8" i="33"/>
  <c r="L8" i="33" s="1"/>
  <c r="N8" i="33" s="1"/>
  <c r="O8" i="33" s="1"/>
  <c r="H9" i="33"/>
  <c r="L9" i="33" s="1"/>
  <c r="N9" i="33" s="1"/>
  <c r="O9" i="33" s="1"/>
  <c r="H11" i="33"/>
  <c r="L11" i="33" s="1"/>
  <c r="N11" i="33" s="1"/>
  <c r="O11" i="33" s="1"/>
  <c r="H12" i="33"/>
  <c r="L12" i="33" s="1"/>
  <c r="N12" i="33" s="1"/>
  <c r="O12" i="33" s="1"/>
  <c r="H13" i="33"/>
  <c r="L13" i="33" s="1"/>
  <c r="N13" i="33" s="1"/>
  <c r="O13" i="33" s="1"/>
  <c r="H14" i="33"/>
  <c r="L14" i="33" s="1"/>
  <c r="N14" i="33" s="1"/>
  <c r="O14" i="33" s="1"/>
  <c r="L15" i="33"/>
  <c r="N15" i="33" s="1"/>
  <c r="O15" i="33" s="1"/>
  <c r="H16" i="33"/>
  <c r="L16" i="33" s="1"/>
  <c r="N16" i="33" s="1"/>
  <c r="O16" i="33" s="1"/>
  <c r="H17" i="33"/>
  <c r="L17" i="33" s="1"/>
  <c r="N17" i="33" s="1"/>
  <c r="O17" i="33" s="1"/>
  <c r="C13" i="5"/>
  <c r="AA6" i="35"/>
  <c r="W18" i="35"/>
  <c r="C13" i="36"/>
  <c r="C13" i="34"/>
  <c r="C13" i="32"/>
  <c r="M6" i="33"/>
  <c r="M18" i="33" s="1"/>
  <c r="I18" i="33"/>
  <c r="H6" i="31"/>
  <c r="H7" i="31"/>
  <c r="L7" i="31" s="1"/>
  <c r="N7" i="31" s="1"/>
  <c r="O7" i="31" s="1"/>
  <c r="H8" i="31"/>
  <c r="L8" i="31" s="1"/>
  <c r="N8" i="31" s="1"/>
  <c r="O8" i="31" s="1"/>
  <c r="H9" i="31"/>
  <c r="L9" i="31" s="1"/>
  <c r="N9" i="31" s="1"/>
  <c r="O9" i="31" s="1"/>
  <c r="H11" i="31"/>
  <c r="L11" i="31" s="1"/>
  <c r="N11" i="31" s="1"/>
  <c r="O11" i="31" s="1"/>
  <c r="H12" i="31"/>
  <c r="L12" i="31" s="1"/>
  <c r="N12" i="31" s="1"/>
  <c r="O12" i="31" s="1"/>
  <c r="H13" i="31"/>
  <c r="L13" i="31" s="1"/>
  <c r="N13" i="31" s="1"/>
  <c r="O13" i="31" s="1"/>
  <c r="H14" i="31"/>
  <c r="L14" i="31" s="1"/>
  <c r="N14" i="31" s="1"/>
  <c r="O14" i="31" s="1"/>
  <c r="H16" i="31"/>
  <c r="L16" i="31" s="1"/>
  <c r="N16" i="31" s="1"/>
  <c r="O16" i="31" s="1"/>
  <c r="H17" i="31"/>
  <c r="L17" i="31" s="1"/>
  <c r="N17" i="31" s="1"/>
  <c r="O17" i="31" s="1"/>
  <c r="H6" i="35"/>
  <c r="H7" i="35"/>
  <c r="L7" i="35" s="1"/>
  <c r="N7" i="35" s="1"/>
  <c r="O7" i="35" s="1"/>
  <c r="H8" i="35"/>
  <c r="L8" i="35" s="1"/>
  <c r="N8" i="35" s="1"/>
  <c r="O8" i="35" s="1"/>
  <c r="H9" i="35"/>
  <c r="L9" i="35" s="1"/>
  <c r="N9" i="35" s="1"/>
  <c r="O9" i="35" s="1"/>
  <c r="H11" i="35"/>
  <c r="L11" i="35" s="1"/>
  <c r="N11" i="35" s="1"/>
  <c r="O11" i="35" s="1"/>
  <c r="H12" i="35"/>
  <c r="L12" i="35" s="1"/>
  <c r="N12" i="35" s="1"/>
  <c r="O12" i="35" s="1"/>
  <c r="H13" i="35"/>
  <c r="L13" i="35" s="1"/>
  <c r="N13" i="35" s="1"/>
  <c r="O13" i="35" s="1"/>
  <c r="H14" i="35"/>
  <c r="L14" i="35" s="1"/>
  <c r="N14" i="35" s="1"/>
  <c r="O14" i="35" s="1"/>
  <c r="H16" i="35"/>
  <c r="L16" i="35" s="1"/>
  <c r="N16" i="35" s="1"/>
  <c r="O16" i="35" s="1"/>
  <c r="H17" i="35"/>
  <c r="L17" i="35" s="1"/>
  <c r="N17" i="35" s="1"/>
  <c r="O17" i="35" s="1"/>
  <c r="AA6" i="30"/>
  <c r="W18" i="30"/>
  <c r="AA6" i="28"/>
  <c r="W18" i="28"/>
  <c r="H6" i="29"/>
  <c r="L10" i="29"/>
  <c r="N10" i="29" s="1"/>
  <c r="O10" i="29" s="1"/>
  <c r="H7" i="29"/>
  <c r="L7" i="29" s="1"/>
  <c r="N7" i="29" s="1"/>
  <c r="O7" i="29" s="1"/>
  <c r="H8" i="29"/>
  <c r="L8" i="29" s="1"/>
  <c r="N8" i="29" s="1"/>
  <c r="O8" i="29" s="1"/>
  <c r="H9" i="29"/>
  <c r="L9" i="29" s="1"/>
  <c r="N9" i="29" s="1"/>
  <c r="O9" i="29" s="1"/>
  <c r="H11" i="29"/>
  <c r="L11" i="29" s="1"/>
  <c r="N11" i="29" s="1"/>
  <c r="O11" i="29" s="1"/>
  <c r="H12" i="29"/>
  <c r="L12" i="29" s="1"/>
  <c r="N12" i="29" s="1"/>
  <c r="O12" i="29" s="1"/>
  <c r="H13" i="29"/>
  <c r="L13" i="29" s="1"/>
  <c r="N13" i="29" s="1"/>
  <c r="O13" i="29" s="1"/>
  <c r="H14" i="29"/>
  <c r="L14" i="29" s="1"/>
  <c r="N14" i="29" s="1"/>
  <c r="O14" i="29" s="1"/>
  <c r="L15" i="29"/>
  <c r="N15" i="29" s="1"/>
  <c r="O15" i="29" s="1"/>
  <c r="H16" i="29"/>
  <c r="L16" i="29" s="1"/>
  <c r="N16" i="29" s="1"/>
  <c r="O16" i="29" s="1"/>
  <c r="H17" i="29"/>
  <c r="L17" i="29" s="1"/>
  <c r="N17" i="29" s="1"/>
  <c r="O17" i="29" s="1"/>
  <c r="M6" i="30"/>
  <c r="M18" i="30" s="1"/>
  <c r="I18" i="30"/>
  <c r="M6" i="28"/>
  <c r="M18" i="28" s="1"/>
  <c r="I18" i="28"/>
  <c r="AA6" i="29"/>
  <c r="W18" i="29"/>
  <c r="M6" i="29"/>
  <c r="M18" i="29" s="1"/>
  <c r="I18" i="29"/>
  <c r="L10" i="28"/>
  <c r="N10" i="28" s="1"/>
  <c r="O10" i="28" s="1"/>
  <c r="H9" i="28"/>
  <c r="L9" i="28" s="1"/>
  <c r="N9" i="28" s="1"/>
  <c r="O9" i="28" s="1"/>
  <c r="H6" i="28"/>
  <c r="H7" i="28"/>
  <c r="L7" i="28" s="1"/>
  <c r="N7" i="28" s="1"/>
  <c r="O7" i="28" s="1"/>
  <c r="H8" i="28"/>
  <c r="L8" i="28" s="1"/>
  <c r="N8" i="28" s="1"/>
  <c r="O8" i="28" s="1"/>
  <c r="H11" i="28"/>
  <c r="L11" i="28" s="1"/>
  <c r="N11" i="28" s="1"/>
  <c r="O11" i="28" s="1"/>
  <c r="H12" i="28"/>
  <c r="L12" i="28" s="1"/>
  <c r="N12" i="28" s="1"/>
  <c r="O12" i="28" s="1"/>
  <c r="H13" i="28"/>
  <c r="L13" i="28" s="1"/>
  <c r="N13" i="28" s="1"/>
  <c r="O13" i="28" s="1"/>
  <c r="H14" i="28"/>
  <c r="L14" i="28" s="1"/>
  <c r="N14" i="28" s="1"/>
  <c r="O14" i="28" s="1"/>
  <c r="L15" i="28"/>
  <c r="N15" i="28" s="1"/>
  <c r="O15" i="28" s="1"/>
  <c r="H16" i="28"/>
  <c r="L16" i="28" s="1"/>
  <c r="N16" i="28" s="1"/>
  <c r="O16" i="28" s="1"/>
  <c r="H17" i="28"/>
  <c r="L17" i="28" s="1"/>
  <c r="N17" i="28" s="1"/>
  <c r="O17" i="28" s="1"/>
  <c r="H6" i="30"/>
  <c r="L10" i="30"/>
  <c r="N10" i="30" s="1"/>
  <c r="O10" i="30" s="1"/>
  <c r="H7" i="30"/>
  <c r="L7" i="30" s="1"/>
  <c r="N7" i="30" s="1"/>
  <c r="O7" i="30" s="1"/>
  <c r="H8" i="30"/>
  <c r="L8" i="30" s="1"/>
  <c r="N8" i="30" s="1"/>
  <c r="O8" i="30" s="1"/>
  <c r="H9" i="30"/>
  <c r="L9" i="30" s="1"/>
  <c r="N9" i="30" s="1"/>
  <c r="O9" i="30" s="1"/>
  <c r="H11" i="30"/>
  <c r="L11" i="30" s="1"/>
  <c r="N11" i="30" s="1"/>
  <c r="O11" i="30" s="1"/>
  <c r="H12" i="30"/>
  <c r="L12" i="30" s="1"/>
  <c r="N12" i="30" s="1"/>
  <c r="O12" i="30" s="1"/>
  <c r="H13" i="30"/>
  <c r="L13" i="30" s="1"/>
  <c r="N13" i="30" s="1"/>
  <c r="O13" i="30" s="1"/>
  <c r="H14" i="30"/>
  <c r="L14" i="30" s="1"/>
  <c r="N14" i="30" s="1"/>
  <c r="O14" i="30" s="1"/>
  <c r="L15" i="30"/>
  <c r="N15" i="30" s="1"/>
  <c r="O15" i="30" s="1"/>
  <c r="H16" i="30"/>
  <c r="L16" i="30" s="1"/>
  <c r="N16" i="30" s="1"/>
  <c r="O16" i="30" s="1"/>
  <c r="H17" i="30"/>
  <c r="L17" i="30" s="1"/>
  <c r="N17" i="30" s="1"/>
  <c r="O17" i="30" s="1"/>
  <c r="E17" i="5"/>
  <c r="I17" i="5" s="1"/>
  <c r="M17" i="5" s="1"/>
  <c r="W18" i="31" l="1"/>
  <c r="W18" i="36"/>
  <c r="N17" i="41"/>
  <c r="O17" i="41" s="1"/>
  <c r="N15" i="41"/>
  <c r="O15" i="41" s="1"/>
  <c r="N13" i="41"/>
  <c r="O13" i="41" s="1"/>
  <c r="N11" i="41"/>
  <c r="O11" i="41" s="1"/>
  <c r="N7" i="41"/>
  <c r="O7" i="41" s="1"/>
  <c r="N9" i="41"/>
  <c r="O9" i="41" s="1"/>
  <c r="M6" i="32"/>
  <c r="M18" i="32" s="1"/>
  <c r="I18" i="32"/>
  <c r="M6" i="41"/>
  <c r="M18" i="41" s="1"/>
  <c r="I18" i="41"/>
  <c r="M6" i="34"/>
  <c r="M18" i="34" s="1"/>
  <c r="I18" i="34"/>
  <c r="M6" i="36"/>
  <c r="M18" i="36" s="1"/>
  <c r="I18" i="36"/>
  <c r="N14" i="41"/>
  <c r="O14" i="41" s="1"/>
  <c r="N12" i="41"/>
  <c r="O12" i="41" s="1"/>
  <c r="N8" i="41"/>
  <c r="O8" i="41" s="1"/>
  <c r="L6" i="41"/>
  <c r="H18" i="41"/>
  <c r="N10" i="41"/>
  <c r="O10" i="41" s="1"/>
  <c r="W18" i="32"/>
  <c r="W18" i="38"/>
  <c r="W18" i="39"/>
  <c r="H6" i="38"/>
  <c r="H7" i="38"/>
  <c r="L7" i="38" s="1"/>
  <c r="N7" i="38" s="1"/>
  <c r="O7" i="38" s="1"/>
  <c r="H8" i="38"/>
  <c r="L8" i="38" s="1"/>
  <c r="N8" i="38" s="1"/>
  <c r="O8" i="38" s="1"/>
  <c r="H10" i="38"/>
  <c r="L10" i="38" s="1"/>
  <c r="N10" i="38" s="1"/>
  <c r="O10" i="38" s="1"/>
  <c r="H9" i="38"/>
  <c r="L9" i="38" s="1"/>
  <c r="N9" i="38" s="1"/>
  <c r="O9" i="38" s="1"/>
  <c r="H11" i="38"/>
  <c r="L11" i="38" s="1"/>
  <c r="N11" i="38" s="1"/>
  <c r="O11" i="38" s="1"/>
  <c r="H12" i="38"/>
  <c r="L12" i="38" s="1"/>
  <c r="N12" i="38" s="1"/>
  <c r="O12" i="38" s="1"/>
  <c r="H13" i="38"/>
  <c r="L13" i="38" s="1"/>
  <c r="N13" i="38" s="1"/>
  <c r="O13" i="38" s="1"/>
  <c r="H14" i="38"/>
  <c r="L14" i="38" s="1"/>
  <c r="N14" i="38" s="1"/>
  <c r="O14" i="38" s="1"/>
  <c r="H15" i="38"/>
  <c r="L15" i="38" s="1"/>
  <c r="N15" i="38" s="1"/>
  <c r="O15" i="38" s="1"/>
  <c r="H16" i="38"/>
  <c r="L16" i="38" s="1"/>
  <c r="N16" i="38" s="1"/>
  <c r="O16" i="38" s="1"/>
  <c r="H17" i="38"/>
  <c r="L17" i="38" s="1"/>
  <c r="N17" i="38" s="1"/>
  <c r="O17" i="38" s="1"/>
  <c r="H6" i="40"/>
  <c r="H10" i="40"/>
  <c r="L10" i="40" s="1"/>
  <c r="N10" i="40" s="1"/>
  <c r="O10" i="40" s="1"/>
  <c r="H7" i="40"/>
  <c r="L7" i="40" s="1"/>
  <c r="N7" i="40" s="1"/>
  <c r="O7" i="40" s="1"/>
  <c r="H8" i="40"/>
  <c r="L8" i="40" s="1"/>
  <c r="N8" i="40" s="1"/>
  <c r="O8" i="40" s="1"/>
  <c r="H9" i="40"/>
  <c r="L9" i="40" s="1"/>
  <c r="N9" i="40" s="1"/>
  <c r="O9" i="40" s="1"/>
  <c r="H11" i="40"/>
  <c r="L11" i="40" s="1"/>
  <c r="N11" i="40" s="1"/>
  <c r="O11" i="40" s="1"/>
  <c r="H12" i="40"/>
  <c r="L12" i="40" s="1"/>
  <c r="N12" i="40" s="1"/>
  <c r="O12" i="40" s="1"/>
  <c r="H13" i="40"/>
  <c r="L13" i="40" s="1"/>
  <c r="N13" i="40" s="1"/>
  <c r="O13" i="40" s="1"/>
  <c r="H14" i="40"/>
  <c r="L14" i="40" s="1"/>
  <c r="N14" i="40" s="1"/>
  <c r="O14" i="40" s="1"/>
  <c r="H15" i="40"/>
  <c r="L15" i="40" s="1"/>
  <c r="N15" i="40" s="1"/>
  <c r="O15" i="40" s="1"/>
  <c r="H16" i="40"/>
  <c r="L16" i="40" s="1"/>
  <c r="N16" i="40" s="1"/>
  <c r="O16" i="40" s="1"/>
  <c r="H17" i="40"/>
  <c r="L17" i="40" s="1"/>
  <c r="N17" i="40" s="1"/>
  <c r="O17" i="40" s="1"/>
  <c r="AC6" i="38"/>
  <c r="AA18" i="38"/>
  <c r="T20" i="38" s="1"/>
  <c r="D172" i="3" s="1"/>
  <c r="Z116" i="6" s="1"/>
  <c r="AC6" i="39"/>
  <c r="AA18" i="39"/>
  <c r="T20" i="39" s="1"/>
  <c r="E172" i="3" s="1"/>
  <c r="AC6" i="40"/>
  <c r="AA18" i="40"/>
  <c r="T20" i="40" s="1"/>
  <c r="F172" i="3" s="1"/>
  <c r="H9" i="39"/>
  <c r="L9" i="39" s="1"/>
  <c r="N9" i="39" s="1"/>
  <c r="O9" i="39" s="1"/>
  <c r="H6" i="39"/>
  <c r="H10" i="39"/>
  <c r="L10" i="39" s="1"/>
  <c r="N10" i="39" s="1"/>
  <c r="O10" i="39" s="1"/>
  <c r="H7" i="39"/>
  <c r="L7" i="39" s="1"/>
  <c r="N7" i="39" s="1"/>
  <c r="O7" i="39" s="1"/>
  <c r="H8" i="39"/>
  <c r="L8" i="39" s="1"/>
  <c r="N8" i="39" s="1"/>
  <c r="O8" i="39" s="1"/>
  <c r="H11" i="39"/>
  <c r="L11" i="39" s="1"/>
  <c r="N11" i="39" s="1"/>
  <c r="O11" i="39" s="1"/>
  <c r="H12" i="39"/>
  <c r="L12" i="39" s="1"/>
  <c r="N12" i="39" s="1"/>
  <c r="O12" i="39" s="1"/>
  <c r="H13" i="39"/>
  <c r="L13" i="39" s="1"/>
  <c r="N13" i="39" s="1"/>
  <c r="O13" i="39" s="1"/>
  <c r="H14" i="39"/>
  <c r="L14" i="39" s="1"/>
  <c r="N14" i="39" s="1"/>
  <c r="O14" i="39" s="1"/>
  <c r="H15" i="39"/>
  <c r="L15" i="39" s="1"/>
  <c r="N15" i="39" s="1"/>
  <c r="O15" i="39" s="1"/>
  <c r="H16" i="39"/>
  <c r="L16" i="39" s="1"/>
  <c r="N16" i="39" s="1"/>
  <c r="O16" i="39" s="1"/>
  <c r="H17" i="39"/>
  <c r="L17" i="39" s="1"/>
  <c r="N17" i="39" s="1"/>
  <c r="O17" i="39" s="1"/>
  <c r="H15" i="32"/>
  <c r="L15" i="32" s="1"/>
  <c r="N15" i="32" s="1"/>
  <c r="O15" i="32" s="1"/>
  <c r="H10" i="32"/>
  <c r="L10" i="32" s="1"/>
  <c r="N10" i="32" s="1"/>
  <c r="O10" i="32" s="1"/>
  <c r="H15" i="36"/>
  <c r="L15" i="36" s="1"/>
  <c r="N15" i="36" s="1"/>
  <c r="O15" i="36" s="1"/>
  <c r="H10" i="36"/>
  <c r="L10" i="36" s="1"/>
  <c r="N10" i="36" s="1"/>
  <c r="O10" i="36" s="1"/>
  <c r="H15" i="34"/>
  <c r="L15" i="34" s="1"/>
  <c r="N15" i="34" s="1"/>
  <c r="O15" i="34" s="1"/>
  <c r="H10" i="34"/>
  <c r="H13" i="5"/>
  <c r="L13" i="5" s="1"/>
  <c r="N13" i="5" s="1"/>
  <c r="O13" i="5" s="1"/>
  <c r="H15" i="5"/>
  <c r="L15" i="5" s="1"/>
  <c r="N15" i="5" s="1"/>
  <c r="O15" i="5" s="1"/>
  <c r="H10" i="5"/>
  <c r="H9" i="4"/>
  <c r="L9" i="4" s="1"/>
  <c r="N9" i="4" s="1"/>
  <c r="O9" i="4" s="1"/>
  <c r="H10" i="4"/>
  <c r="H15" i="4"/>
  <c r="L15" i="4" s="1"/>
  <c r="N15" i="4" s="1"/>
  <c r="O15" i="4" s="1"/>
  <c r="H7" i="5"/>
  <c r="L7" i="5" s="1"/>
  <c r="N7" i="5" s="1"/>
  <c r="O7" i="5" s="1"/>
  <c r="H13" i="4"/>
  <c r="L13" i="4" s="1"/>
  <c r="N13" i="4" s="1"/>
  <c r="O13" i="4" s="1"/>
  <c r="M18" i="4"/>
  <c r="H14" i="4"/>
  <c r="L14" i="4" s="1"/>
  <c r="N14" i="4" s="1"/>
  <c r="O14" i="4" s="1"/>
  <c r="H7" i="4"/>
  <c r="L7" i="4" s="1"/>
  <c r="N7" i="4" s="1"/>
  <c r="H16" i="5"/>
  <c r="L16" i="5" s="1"/>
  <c r="N16" i="5" s="1"/>
  <c r="O16" i="5" s="1"/>
  <c r="H12" i="5"/>
  <c r="L12" i="5" s="1"/>
  <c r="N12" i="5" s="1"/>
  <c r="O12" i="5" s="1"/>
  <c r="H17" i="4"/>
  <c r="L17" i="4" s="1"/>
  <c r="N17" i="4" s="1"/>
  <c r="O17" i="4" s="1"/>
  <c r="L10" i="5"/>
  <c r="N10" i="5" s="1"/>
  <c r="O10" i="5" s="1"/>
  <c r="H11" i="4"/>
  <c r="L11" i="4" s="1"/>
  <c r="N11" i="4" s="1"/>
  <c r="O11" i="4" s="1"/>
  <c r="H16" i="4"/>
  <c r="L16" i="4" s="1"/>
  <c r="N16" i="4" s="1"/>
  <c r="O16" i="4" s="1"/>
  <c r="H6" i="4"/>
  <c r="L6" i="4" s="1"/>
  <c r="N6" i="4" s="1"/>
  <c r="O6" i="4" s="1"/>
  <c r="H12" i="4"/>
  <c r="L12" i="4" s="1"/>
  <c r="N12" i="4" s="1"/>
  <c r="O12" i="4" s="1"/>
  <c r="M18" i="5"/>
  <c r="I18" i="4"/>
  <c r="H6" i="5"/>
  <c r="L6" i="5" s="1"/>
  <c r="N6" i="5" s="1"/>
  <c r="O6" i="5" s="1"/>
  <c r="H8" i="5"/>
  <c r="L8" i="5" s="1"/>
  <c r="N8" i="5" s="1"/>
  <c r="O8" i="5" s="1"/>
  <c r="H9" i="5"/>
  <c r="L9" i="5" s="1"/>
  <c r="N9" i="5" s="1"/>
  <c r="O9" i="5" s="1"/>
  <c r="H11" i="5"/>
  <c r="L11" i="5" s="1"/>
  <c r="N11" i="5" s="1"/>
  <c r="O11" i="5" s="1"/>
  <c r="H14" i="5"/>
  <c r="L14" i="5" s="1"/>
  <c r="N14" i="5" s="1"/>
  <c r="O14" i="5" s="1"/>
  <c r="AC6" i="32"/>
  <c r="AA18" i="32"/>
  <c r="T20" i="32" s="1"/>
  <c r="AC6" i="36"/>
  <c r="AA18" i="36"/>
  <c r="T20" i="36" s="1"/>
  <c r="H6" i="34"/>
  <c r="L10" i="34"/>
  <c r="N10" i="34" s="1"/>
  <c r="O10" i="34" s="1"/>
  <c r="H7" i="34"/>
  <c r="L7" i="34" s="1"/>
  <c r="N7" i="34" s="1"/>
  <c r="O7" i="34" s="1"/>
  <c r="H8" i="34"/>
  <c r="L8" i="34" s="1"/>
  <c r="N8" i="34" s="1"/>
  <c r="O8" i="34" s="1"/>
  <c r="H9" i="34"/>
  <c r="L9" i="34" s="1"/>
  <c r="N9" i="34" s="1"/>
  <c r="O9" i="34" s="1"/>
  <c r="H11" i="34"/>
  <c r="L11" i="34" s="1"/>
  <c r="N11" i="34" s="1"/>
  <c r="O11" i="34" s="1"/>
  <c r="H12" i="34"/>
  <c r="L12" i="34" s="1"/>
  <c r="N12" i="34" s="1"/>
  <c r="O12" i="34" s="1"/>
  <c r="H13" i="34"/>
  <c r="L13" i="34" s="1"/>
  <c r="N13" i="34" s="1"/>
  <c r="O13" i="34" s="1"/>
  <c r="H14" i="34"/>
  <c r="L14" i="34" s="1"/>
  <c r="N14" i="34" s="1"/>
  <c r="O14" i="34" s="1"/>
  <c r="H16" i="34"/>
  <c r="L16" i="34" s="1"/>
  <c r="N16" i="34" s="1"/>
  <c r="O16" i="34" s="1"/>
  <c r="H17" i="34"/>
  <c r="L17" i="34" s="1"/>
  <c r="N17" i="34" s="1"/>
  <c r="O17" i="34" s="1"/>
  <c r="L6" i="35"/>
  <c r="H18" i="35"/>
  <c r="L6" i="31"/>
  <c r="H18" i="31"/>
  <c r="H9" i="32"/>
  <c r="L9" i="32" s="1"/>
  <c r="N9" i="32" s="1"/>
  <c r="O9" i="32" s="1"/>
  <c r="H6" i="32"/>
  <c r="H7" i="32"/>
  <c r="L7" i="32" s="1"/>
  <c r="N7" i="32" s="1"/>
  <c r="O7" i="32" s="1"/>
  <c r="H8" i="32"/>
  <c r="L8" i="32" s="1"/>
  <c r="N8" i="32" s="1"/>
  <c r="O8" i="32" s="1"/>
  <c r="H11" i="32"/>
  <c r="L11" i="32" s="1"/>
  <c r="N11" i="32" s="1"/>
  <c r="O11" i="32" s="1"/>
  <c r="H12" i="32"/>
  <c r="L12" i="32" s="1"/>
  <c r="N12" i="32" s="1"/>
  <c r="O12" i="32" s="1"/>
  <c r="H13" i="32"/>
  <c r="L13" i="32" s="1"/>
  <c r="N13" i="32" s="1"/>
  <c r="O13" i="32" s="1"/>
  <c r="H14" i="32"/>
  <c r="L14" i="32" s="1"/>
  <c r="N14" i="32" s="1"/>
  <c r="O14" i="32" s="1"/>
  <c r="H16" i="32"/>
  <c r="L16" i="32" s="1"/>
  <c r="N16" i="32" s="1"/>
  <c r="O16" i="32" s="1"/>
  <c r="H17" i="32"/>
  <c r="L17" i="32" s="1"/>
  <c r="N17" i="32" s="1"/>
  <c r="O17" i="32" s="1"/>
  <c r="H6" i="36"/>
  <c r="H7" i="36"/>
  <c r="L7" i="36" s="1"/>
  <c r="N7" i="36" s="1"/>
  <c r="O7" i="36" s="1"/>
  <c r="H8" i="36"/>
  <c r="L8" i="36" s="1"/>
  <c r="N8" i="36" s="1"/>
  <c r="O8" i="36" s="1"/>
  <c r="H9" i="36"/>
  <c r="L9" i="36" s="1"/>
  <c r="N9" i="36" s="1"/>
  <c r="O9" i="36" s="1"/>
  <c r="H11" i="36"/>
  <c r="L11" i="36" s="1"/>
  <c r="N11" i="36" s="1"/>
  <c r="O11" i="36" s="1"/>
  <c r="H12" i="36"/>
  <c r="L12" i="36" s="1"/>
  <c r="N12" i="36" s="1"/>
  <c r="O12" i="36" s="1"/>
  <c r="H13" i="36"/>
  <c r="L13" i="36" s="1"/>
  <c r="N13" i="36" s="1"/>
  <c r="O13" i="36" s="1"/>
  <c r="H14" i="36"/>
  <c r="L14" i="36" s="1"/>
  <c r="N14" i="36" s="1"/>
  <c r="O14" i="36" s="1"/>
  <c r="H16" i="36"/>
  <c r="L16" i="36" s="1"/>
  <c r="N16" i="36" s="1"/>
  <c r="O16" i="36" s="1"/>
  <c r="H17" i="36"/>
  <c r="L17" i="36" s="1"/>
  <c r="N17" i="36" s="1"/>
  <c r="O17" i="36" s="1"/>
  <c r="AC6" i="31"/>
  <c r="AA18" i="31"/>
  <c r="T20" i="31" s="1"/>
  <c r="AC6" i="35"/>
  <c r="AA18" i="35"/>
  <c r="T20" i="35" s="1"/>
  <c r="L6" i="33"/>
  <c r="H18" i="33"/>
  <c r="AC6" i="33"/>
  <c r="AA18" i="33"/>
  <c r="T20" i="33" s="1"/>
  <c r="AC6" i="34"/>
  <c r="AA18" i="34"/>
  <c r="T20" i="34" s="1"/>
  <c r="L6" i="30"/>
  <c r="H18" i="30"/>
  <c r="L6" i="28"/>
  <c r="H18" i="28"/>
  <c r="AC6" i="29"/>
  <c r="AA18" i="29"/>
  <c r="T20" i="29" s="1"/>
  <c r="E142" i="3" s="1"/>
  <c r="L6" i="29"/>
  <c r="H18" i="29"/>
  <c r="AC6" i="28"/>
  <c r="AA18" i="28"/>
  <c r="T20" i="28" s="1"/>
  <c r="D142" i="3" s="1"/>
  <c r="W116" i="6" s="1"/>
  <c r="AC6" i="30"/>
  <c r="AA18" i="30"/>
  <c r="T20" i="30" s="1"/>
  <c r="F142" i="3" s="1"/>
  <c r="L10" i="4"/>
  <c r="N10" i="4" s="1"/>
  <c r="O10" i="4" s="1"/>
  <c r="L8" i="4"/>
  <c r="N8" i="4" s="1"/>
  <c r="O8" i="4" s="1"/>
  <c r="H17" i="5"/>
  <c r="I18" i="5"/>
  <c r="E18" i="5"/>
  <c r="N6" i="41" l="1"/>
  <c r="L18" i="41"/>
  <c r="E20" i="41" s="1"/>
  <c r="L6" i="39"/>
  <c r="H18" i="39"/>
  <c r="T21" i="40"/>
  <c r="F170" i="3" s="1"/>
  <c r="T21" i="39"/>
  <c r="E170" i="3" s="1"/>
  <c r="T21" i="38"/>
  <c r="D170" i="3" s="1"/>
  <c r="Z118" i="6" s="1"/>
  <c r="AD6" i="40"/>
  <c r="AD18" i="40" s="1"/>
  <c r="AC18" i="40"/>
  <c r="AD6" i="39"/>
  <c r="AD18" i="39" s="1"/>
  <c r="AC18" i="39"/>
  <c r="AD6" i="38"/>
  <c r="AD18" i="38" s="1"/>
  <c r="AC18" i="38"/>
  <c r="L6" i="40"/>
  <c r="H18" i="40"/>
  <c r="L6" i="38"/>
  <c r="H18" i="38"/>
  <c r="H18" i="4"/>
  <c r="E162" i="3"/>
  <c r="T21" i="34"/>
  <c r="E152" i="3"/>
  <c r="T21" i="33"/>
  <c r="F152" i="3"/>
  <c r="T21" i="35"/>
  <c r="D152" i="3"/>
  <c r="X116" i="6" s="1"/>
  <c r="T21" i="31"/>
  <c r="F162" i="3"/>
  <c r="F132" i="3" s="1"/>
  <c r="T21" i="36"/>
  <c r="D162" i="3"/>
  <c r="T21" i="32"/>
  <c r="AD6" i="34"/>
  <c r="AD18" i="34" s="1"/>
  <c r="AC18" i="34"/>
  <c r="AD6" i="33"/>
  <c r="AD18" i="33" s="1"/>
  <c r="AC18" i="33"/>
  <c r="N6" i="33"/>
  <c r="L18" i="33"/>
  <c r="E20" i="33" s="1"/>
  <c r="AD6" i="35"/>
  <c r="AD18" i="35" s="1"/>
  <c r="AC18" i="35"/>
  <c r="AD6" i="31"/>
  <c r="AD18" i="31" s="1"/>
  <c r="AC18" i="31"/>
  <c r="L6" i="36"/>
  <c r="H18" i="36"/>
  <c r="L6" i="32"/>
  <c r="H18" i="32"/>
  <c r="N6" i="31"/>
  <c r="L18" i="31"/>
  <c r="E20" i="31" s="1"/>
  <c r="N6" i="35"/>
  <c r="L18" i="35"/>
  <c r="E20" i="35" s="1"/>
  <c r="L6" i="34"/>
  <c r="H18" i="34"/>
  <c r="AD6" i="36"/>
  <c r="AD18" i="36" s="1"/>
  <c r="AC18" i="36"/>
  <c r="AD6" i="32"/>
  <c r="AD18" i="32" s="1"/>
  <c r="AC18" i="32"/>
  <c r="AD6" i="30"/>
  <c r="AD18" i="30" s="1"/>
  <c r="AC18" i="30"/>
  <c r="AD6" i="28"/>
  <c r="AD18" i="28" s="1"/>
  <c r="AC18" i="28"/>
  <c r="N6" i="29"/>
  <c r="L18" i="29"/>
  <c r="E20" i="29" s="1"/>
  <c r="AB20" i="29" s="1"/>
  <c r="E143" i="3" s="1"/>
  <c r="AD6" i="29"/>
  <c r="AD18" i="29" s="1"/>
  <c r="AC18" i="29"/>
  <c r="N6" i="28"/>
  <c r="L18" i="28"/>
  <c r="E20" i="28" s="1"/>
  <c r="AB20" i="28" s="1"/>
  <c r="D143" i="3" s="1"/>
  <c r="W117" i="6" s="1"/>
  <c r="N6" i="30"/>
  <c r="L18" i="30"/>
  <c r="E20" i="30" s="1"/>
  <c r="AB20" i="30" s="1"/>
  <c r="F143" i="3" s="1"/>
  <c r="T21" i="30"/>
  <c r="F140" i="3" s="1"/>
  <c r="T21" i="28"/>
  <c r="D140" i="3" s="1"/>
  <c r="W118" i="6" s="1"/>
  <c r="T21" i="29"/>
  <c r="E140" i="3" s="1"/>
  <c r="O7" i="4"/>
  <c r="O18" i="4" s="1"/>
  <c r="N18" i="4"/>
  <c r="L18" i="4"/>
  <c r="E20" i="4" s="1"/>
  <c r="E113" i="16" s="1"/>
  <c r="L17" i="5"/>
  <c r="N17" i="5" s="1"/>
  <c r="H18" i="5"/>
  <c r="E132" i="3" l="1"/>
  <c r="Y116" i="6"/>
  <c r="D132" i="3"/>
  <c r="AA116" i="6"/>
  <c r="F116" i="6" s="1"/>
  <c r="E21" i="41"/>
  <c r="AB21" i="41" s="1"/>
  <c r="AB20" i="41"/>
  <c r="O6" i="41"/>
  <c r="O18" i="41" s="1"/>
  <c r="N18" i="41"/>
  <c r="E47" i="22"/>
  <c r="N6" i="38"/>
  <c r="L18" i="38"/>
  <c r="E20" i="38" s="1"/>
  <c r="D167" i="3" s="1"/>
  <c r="N6" i="40"/>
  <c r="L18" i="40"/>
  <c r="E20" i="40" s="1"/>
  <c r="F167" i="3" s="1"/>
  <c r="N6" i="39"/>
  <c r="L18" i="39"/>
  <c r="E20" i="39" s="1"/>
  <c r="E167" i="3" s="1"/>
  <c r="E21" i="30"/>
  <c r="F138" i="3" s="1"/>
  <c r="F137" i="3"/>
  <c r="E21" i="28"/>
  <c r="D138" i="3" s="1"/>
  <c r="D137" i="3"/>
  <c r="E21" i="29"/>
  <c r="E138" i="3" s="1"/>
  <c r="E137" i="3"/>
  <c r="E21" i="35"/>
  <c r="F148" i="3" s="1"/>
  <c r="F147" i="3"/>
  <c r="E21" i="31"/>
  <c r="D148" i="3" s="1"/>
  <c r="D147" i="3"/>
  <c r="E21" i="33"/>
  <c r="E148" i="3" s="1"/>
  <c r="E147" i="3"/>
  <c r="D150" i="3"/>
  <c r="AB20" i="35"/>
  <c r="F153" i="3" s="1"/>
  <c r="E150" i="3"/>
  <c r="N6" i="34"/>
  <c r="L18" i="34"/>
  <c r="E20" i="34" s="1"/>
  <c r="E157" i="3" s="1"/>
  <c r="O6" i="35"/>
  <c r="O18" i="35" s="1"/>
  <c r="N18" i="35"/>
  <c r="O6" i="31"/>
  <c r="O18" i="31" s="1"/>
  <c r="N18" i="31"/>
  <c r="N6" i="32"/>
  <c r="L18" i="32"/>
  <c r="E20" i="32" s="1"/>
  <c r="D157" i="3" s="1"/>
  <c r="N6" i="36"/>
  <c r="L18" i="36"/>
  <c r="E20" i="36" s="1"/>
  <c r="F157" i="3" s="1"/>
  <c r="O6" i="33"/>
  <c r="O18" i="33" s="1"/>
  <c r="N18" i="33"/>
  <c r="D160" i="3"/>
  <c r="F160" i="3"/>
  <c r="AB20" i="31"/>
  <c r="D153" i="3" s="1"/>
  <c r="X117" i="6" s="1"/>
  <c r="F150" i="3"/>
  <c r="AB20" i="33"/>
  <c r="E153" i="3" s="1"/>
  <c r="E160" i="3"/>
  <c r="E130" i="3" s="1"/>
  <c r="D113" i="16"/>
  <c r="O6" i="30"/>
  <c r="O18" i="30" s="1"/>
  <c r="N18" i="30"/>
  <c r="O6" i="28"/>
  <c r="O18" i="28" s="1"/>
  <c r="N18" i="28"/>
  <c r="O6" i="29"/>
  <c r="O18" i="29" s="1"/>
  <c r="N18" i="29"/>
  <c r="E21" i="4"/>
  <c r="L18" i="5"/>
  <c r="E20" i="5" s="1"/>
  <c r="F113" i="16" s="1"/>
  <c r="O17" i="5"/>
  <c r="O18" i="5" s="1"/>
  <c r="N18" i="5"/>
  <c r="D114" i="16"/>
  <c r="D115" i="16" s="1"/>
  <c r="F127" i="3" l="1"/>
  <c r="D127" i="3"/>
  <c r="L12" i="6" s="1"/>
  <c r="E127" i="3"/>
  <c r="F130" i="3"/>
  <c r="AB21" i="29"/>
  <c r="E141" i="3" s="1"/>
  <c r="E139" i="3" s="1"/>
  <c r="Y118" i="6"/>
  <c r="E49" i="22" s="1"/>
  <c r="D130" i="3"/>
  <c r="O6" i="39"/>
  <c r="O18" i="39" s="1"/>
  <c r="N18" i="39"/>
  <c r="E21" i="40"/>
  <c r="AB20" i="40"/>
  <c r="F173" i="3" s="1"/>
  <c r="E21" i="38"/>
  <c r="AB20" i="38"/>
  <c r="D173" i="3" s="1"/>
  <c r="Z117" i="6" s="1"/>
  <c r="E21" i="39"/>
  <c r="AB20" i="39"/>
  <c r="E173" i="3" s="1"/>
  <c r="O6" i="40"/>
  <c r="O18" i="40" s="1"/>
  <c r="N18" i="40"/>
  <c r="O6" i="38"/>
  <c r="O18" i="38" s="1"/>
  <c r="N18" i="38"/>
  <c r="AB21" i="31"/>
  <c r="D151" i="3" s="1"/>
  <c r="X119" i="6" s="1"/>
  <c r="O48" i="22" s="1"/>
  <c r="AB21" i="30"/>
  <c r="F141" i="3" s="1"/>
  <c r="F139" i="3" s="1"/>
  <c r="AB21" i="28"/>
  <c r="D141" i="3" s="1"/>
  <c r="W119" i="6" s="1"/>
  <c r="AB21" i="35"/>
  <c r="F151" i="3" s="1"/>
  <c r="F149" i="3" s="1"/>
  <c r="X118" i="6"/>
  <c r="AB21" i="33"/>
  <c r="E151" i="3" s="1"/>
  <c r="E149" i="3" s="1"/>
  <c r="O6" i="36"/>
  <c r="O18" i="36" s="1"/>
  <c r="N18" i="36"/>
  <c r="O6" i="32"/>
  <c r="O18" i="32" s="1"/>
  <c r="N18" i="32"/>
  <c r="O6" i="34"/>
  <c r="O18" i="34" s="1"/>
  <c r="N18" i="34"/>
  <c r="E21" i="36"/>
  <c r="AB20" i="36"/>
  <c r="F163" i="3" s="1"/>
  <c r="E21" i="32"/>
  <c r="AB20" i="32"/>
  <c r="D163" i="3" s="1"/>
  <c r="E21" i="34"/>
  <c r="AB20" i="34"/>
  <c r="E163" i="3" s="1"/>
  <c r="E114" i="16"/>
  <c r="E115" i="16" s="1"/>
  <c r="E21" i="5"/>
  <c r="R13" i="5"/>
  <c r="R13" i="4"/>
  <c r="D139" i="3" l="1"/>
  <c r="E133" i="3"/>
  <c r="F133" i="3"/>
  <c r="Y117" i="6"/>
  <c r="AA117" i="6" s="1"/>
  <c r="F117" i="6" s="1"/>
  <c r="D133" i="3"/>
  <c r="AB21" i="39"/>
  <c r="E171" i="3" s="1"/>
  <c r="E169" i="3" s="1"/>
  <c r="E168" i="3"/>
  <c r="AB21" i="38"/>
  <c r="D171" i="3" s="1"/>
  <c r="D168" i="3"/>
  <c r="AB21" i="40"/>
  <c r="F171" i="3" s="1"/>
  <c r="F169" i="3" s="1"/>
  <c r="F168" i="3"/>
  <c r="E48" i="22"/>
  <c r="Y48" i="22" s="1"/>
  <c r="AI48" i="22" s="1"/>
  <c r="AA118" i="6"/>
  <c r="O47" i="22"/>
  <c r="Y47" i="22" s="1"/>
  <c r="AI47" i="22" s="1"/>
  <c r="W15" i="4"/>
  <c r="W10" i="4"/>
  <c r="W15" i="5"/>
  <c r="W10" i="5"/>
  <c r="D149" i="3"/>
  <c r="AB21" i="34"/>
  <c r="E161" i="3" s="1"/>
  <c r="E158" i="3"/>
  <c r="E128" i="3" s="1"/>
  <c r="AB21" i="32"/>
  <c r="D161" i="3" s="1"/>
  <c r="D158" i="3"/>
  <c r="D128" i="3" s="1"/>
  <c r="L11" i="6" s="1"/>
  <c r="AB21" i="36"/>
  <c r="F161" i="3" s="1"/>
  <c r="F158" i="3"/>
  <c r="F128" i="3" s="1"/>
  <c r="F114" i="16"/>
  <c r="F115" i="16" s="1"/>
  <c r="W16" i="4"/>
  <c r="W14" i="5"/>
  <c r="W6" i="4"/>
  <c r="AA6" i="4" s="1"/>
  <c r="W7" i="4"/>
  <c r="W8" i="5"/>
  <c r="W11" i="5"/>
  <c r="W9" i="5"/>
  <c r="W7" i="5"/>
  <c r="W12" i="5"/>
  <c r="W6" i="5"/>
  <c r="AA6" i="5" s="1"/>
  <c r="W17" i="5"/>
  <c r="W16" i="5"/>
  <c r="W14" i="4"/>
  <c r="W9" i="4"/>
  <c r="W11" i="4"/>
  <c r="W8" i="4"/>
  <c r="W13" i="4"/>
  <c r="W17" i="4"/>
  <c r="W12" i="4"/>
  <c r="W13" i="5"/>
  <c r="F159" i="3" l="1"/>
  <c r="F131" i="3"/>
  <c r="D131" i="3"/>
  <c r="E159" i="3"/>
  <c r="E131" i="3"/>
  <c r="D169" i="3"/>
  <c r="Z119" i="6"/>
  <c r="D159" i="3"/>
  <c r="Y119" i="6"/>
  <c r="AA13" i="4"/>
  <c r="AC13" i="4" s="1"/>
  <c r="AD13" i="4" s="1"/>
  <c r="AA12" i="5"/>
  <c r="AC12" i="5" s="1"/>
  <c r="AD12" i="5" s="1"/>
  <c r="AA7" i="4"/>
  <c r="AC7" i="4" s="1"/>
  <c r="AD7" i="4" s="1"/>
  <c r="AA16" i="4"/>
  <c r="AC16" i="4" s="1"/>
  <c r="AD16" i="4" s="1"/>
  <c r="AA12" i="4"/>
  <c r="AC12" i="4" s="1"/>
  <c r="AD12" i="4" s="1"/>
  <c r="AA8" i="4"/>
  <c r="AC8" i="4" s="1"/>
  <c r="AD8" i="4" s="1"/>
  <c r="AA16" i="5"/>
  <c r="AC16" i="5" s="1"/>
  <c r="AD16" i="5" s="1"/>
  <c r="AA7" i="5"/>
  <c r="AC7" i="5" s="1"/>
  <c r="AD7" i="5" s="1"/>
  <c r="AA11" i="5"/>
  <c r="AC11" i="5" s="1"/>
  <c r="AD11" i="5" s="1"/>
  <c r="AA15" i="5"/>
  <c r="AC15" i="5" s="1"/>
  <c r="AD15" i="5" s="1"/>
  <c r="AA13" i="5"/>
  <c r="AC13" i="5" s="1"/>
  <c r="AD13" i="5" s="1"/>
  <c r="AA14" i="4"/>
  <c r="AC14" i="4" s="1"/>
  <c r="AD14" i="4" s="1"/>
  <c r="AA10" i="5"/>
  <c r="AC10" i="5" s="1"/>
  <c r="AD10" i="5" s="1"/>
  <c r="AA11" i="4"/>
  <c r="AC11" i="4" s="1"/>
  <c r="AD11" i="4" s="1"/>
  <c r="AA17" i="5"/>
  <c r="AC17" i="5" s="1"/>
  <c r="AD17" i="5" s="1"/>
  <c r="AA9" i="5"/>
  <c r="AC9" i="5" s="1"/>
  <c r="AD9" i="5" s="1"/>
  <c r="AA8" i="5"/>
  <c r="AC8" i="5" s="1"/>
  <c r="AD8" i="5" s="1"/>
  <c r="AA14" i="5"/>
  <c r="AC14" i="5" s="1"/>
  <c r="AD14" i="5" s="1"/>
  <c r="AA17" i="4"/>
  <c r="AC17" i="4" s="1"/>
  <c r="AD17" i="4" s="1"/>
  <c r="AA9" i="4"/>
  <c r="AC9" i="4" s="1"/>
  <c r="AD9" i="4" s="1"/>
  <c r="AA10" i="4"/>
  <c r="AC10" i="4" s="1"/>
  <c r="AD10" i="4" s="1"/>
  <c r="AA15" i="4"/>
  <c r="AC15" i="4" s="1"/>
  <c r="AD15" i="4" s="1"/>
  <c r="W18" i="5"/>
  <c r="AC6" i="4"/>
  <c r="W18" i="4"/>
  <c r="O49" i="22" l="1"/>
  <c r="Y49" i="22" s="1"/>
  <c r="AI49" i="22" s="1"/>
  <c r="Y50" i="22" s="1"/>
  <c r="Y42" i="22" s="1"/>
  <c r="AA119" i="6"/>
  <c r="AA18" i="4"/>
  <c r="T20" i="4" s="1"/>
  <c r="AB20" i="4" s="1"/>
  <c r="AC6" i="5"/>
  <c r="AA18" i="5"/>
  <c r="T20" i="5" s="1"/>
  <c r="AC18" i="4"/>
  <c r="AD6" i="4"/>
  <c r="AD18" i="4" s="1"/>
  <c r="T21" i="4" l="1"/>
  <c r="AB21" i="4" s="1"/>
  <c r="AB20" i="5"/>
  <c r="T21" i="5"/>
  <c r="AD6" i="5"/>
  <c r="AD18" i="5" s="1"/>
  <c r="AC18" i="5"/>
  <c r="E129" i="3" l="1"/>
  <c r="L9" i="6"/>
  <c r="E40" i="22" s="1"/>
  <c r="L10" i="6"/>
  <c r="O40" i="22" s="1"/>
  <c r="AB21" i="5"/>
  <c r="Y40" i="22" l="1"/>
  <c r="F129" i="3"/>
  <c r="D129" i="3"/>
  <c r="L13" i="6" s="1"/>
</calcChain>
</file>

<file path=xl/comments1.xml><?xml version="1.0" encoding="utf-8"?>
<comments xmlns="http://schemas.openxmlformats.org/spreadsheetml/2006/main">
  <authors>
    <author>作成者</author>
  </authors>
  <commentList>
    <comment ref="J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登記簿謄本に記載されている本社所在地を記載</t>
        </r>
      </text>
    </comment>
    <comment ref="J21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登記簿謄本に記載されている本社所在地を記載</t>
        </r>
      </text>
    </comment>
    <comment ref="J31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登記簿謄本に記載されている本社所在地を記載</t>
        </r>
      </text>
    </comment>
    <comment ref="J35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登記簿謄本に記載されている本社所在地を記載</t>
        </r>
      </text>
    </comment>
  </commentList>
</comments>
</file>

<file path=xl/sharedStrings.xml><?xml version="1.0" encoding="utf-8"?>
<sst xmlns="http://schemas.openxmlformats.org/spreadsheetml/2006/main" count="3528" uniqueCount="1032">
  <si>
    <t>月</t>
    <rPh sb="0" eb="1">
      <t>ツキ</t>
    </rPh>
    <phoneticPr fontId="1"/>
  </si>
  <si>
    <t>合計</t>
    <rPh sb="0" eb="2">
      <t>ゴウケイ</t>
    </rPh>
    <phoneticPr fontId="1"/>
  </si>
  <si>
    <t>冷房用COP</t>
    <rPh sb="0" eb="3">
      <t>レイボウヨウ</t>
    </rPh>
    <phoneticPr fontId="1"/>
  </si>
  <si>
    <t>暖房用COP</t>
    <rPh sb="0" eb="3">
      <t>ダンボウヨウ</t>
    </rPh>
    <phoneticPr fontId="1"/>
  </si>
  <si>
    <t>さいたま市</t>
    <rPh sb="4" eb="5">
      <t>シ</t>
    </rPh>
    <phoneticPr fontId="1"/>
  </si>
  <si>
    <t>熊谷市</t>
    <rPh sb="0" eb="3">
      <t>クマガヤシ</t>
    </rPh>
    <phoneticPr fontId="1"/>
  </si>
  <si>
    <t>秩父市</t>
    <rPh sb="0" eb="3">
      <t>チチブシ</t>
    </rPh>
    <phoneticPr fontId="1"/>
  </si>
  <si>
    <t>t-CO2/年</t>
    <rPh sb="6" eb="7">
      <t>ネン</t>
    </rPh>
    <phoneticPr fontId="1"/>
  </si>
  <si>
    <t>運転時間</t>
    <rPh sb="0" eb="2">
      <t>ウンテン</t>
    </rPh>
    <rPh sb="2" eb="4">
      <t>ジカン</t>
    </rPh>
    <phoneticPr fontId="1"/>
  </si>
  <si>
    <t>h</t>
    <phoneticPr fontId="1"/>
  </si>
  <si>
    <t>－</t>
    <phoneticPr fontId="1"/>
  </si>
  <si>
    <t>Kwh/月</t>
    <rPh sb="4" eb="5">
      <t>ツキ</t>
    </rPh>
    <phoneticPr fontId="1"/>
  </si>
  <si>
    <t>W</t>
    <phoneticPr fontId="1"/>
  </si>
  <si>
    <t>kwh/年</t>
    <rPh sb="4" eb="5">
      <t>ネン</t>
    </rPh>
    <phoneticPr fontId="1"/>
  </si>
  <si>
    <t>記号</t>
    <rPh sb="0" eb="2">
      <t>キゴウ</t>
    </rPh>
    <phoneticPr fontId="1"/>
  </si>
  <si>
    <t>単位</t>
    <rPh sb="0" eb="2">
      <t>タンイ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</si>
  <si>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</si>
  <si>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</si>
  <si>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</si>
  <si>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</si>
  <si>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</si>
  <si>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⑧</t>
    <phoneticPr fontId="1"/>
  </si>
  <si>
    <t>⑨</t>
    <phoneticPr fontId="1"/>
  </si>
  <si>
    <t>⑫年間空調消費電力の削減量</t>
    <rPh sb="1" eb="3">
      <t>ネンカン</t>
    </rPh>
    <rPh sb="3" eb="5">
      <t>クウチョウ</t>
    </rPh>
    <rPh sb="5" eb="7">
      <t>ショウヒ</t>
    </rPh>
    <rPh sb="7" eb="9">
      <t>デンリョク</t>
    </rPh>
    <rPh sb="10" eb="12">
      <t>サクゲン</t>
    </rPh>
    <rPh sb="12" eb="13">
      <t>リョウ</t>
    </rPh>
    <phoneticPr fontId="1"/>
  </si>
  <si>
    <t>⑫＝⑩合計＋⑪合計</t>
    <rPh sb="3" eb="5">
      <t>ゴウケイ</t>
    </rPh>
    <rPh sb="7" eb="9">
      <t>ゴウケイ</t>
    </rPh>
    <phoneticPr fontId="1"/>
  </si>
  <si>
    <t>⑫＝⑩＋⑪</t>
    <phoneticPr fontId="1"/>
  </si>
  <si>
    <t>月の平均営業・操業日数</t>
    <rPh sb="0" eb="1">
      <t>ツキ</t>
    </rPh>
    <rPh sb="2" eb="4">
      <t>ヘイキン</t>
    </rPh>
    <rPh sb="4" eb="6">
      <t>エイギョウ</t>
    </rPh>
    <rPh sb="7" eb="9">
      <t>ソウギョウ</t>
    </rPh>
    <rPh sb="9" eb="11">
      <t>ニッスウ</t>
    </rPh>
    <phoneticPr fontId="1"/>
  </si>
  <si>
    <t>kWh/月</t>
    <rPh sb="4" eb="5">
      <t>ツキ</t>
    </rPh>
    <phoneticPr fontId="1"/>
  </si>
  <si>
    <t>⑬年間CO2の削減量</t>
    <rPh sb="1" eb="3">
      <t>ネンカン</t>
    </rPh>
    <rPh sb="7" eb="9">
      <t>サクゲン</t>
    </rPh>
    <rPh sb="9" eb="10">
      <t>リョウ</t>
    </rPh>
    <phoneticPr fontId="1"/>
  </si>
  <si>
    <t>⑦＝
②×③×⑤</t>
    <phoneticPr fontId="1"/>
  </si>
  <si>
    <t>⑥＝
①×③×④</t>
    <phoneticPr fontId="1"/>
  </si>
  <si>
    <t>t-CO2/月</t>
    <rPh sb="6" eb="7">
      <t>ツキ</t>
    </rPh>
    <phoneticPr fontId="1"/>
  </si>
  <si>
    <t>⑬＝⑫×0.495/1000</t>
    <phoneticPr fontId="1"/>
  </si>
  <si>
    <t>⑫×0.495/1000</t>
    <phoneticPr fontId="1"/>
  </si>
  <si>
    <t>一日の平均営業・操業時間</t>
    <rPh sb="0" eb="2">
      <t>イチニチ</t>
    </rPh>
    <rPh sb="3" eb="5">
      <t>ヘイキン</t>
    </rPh>
    <rPh sb="5" eb="7">
      <t>エイギョウ</t>
    </rPh>
    <rPh sb="8" eb="10">
      <t>ソウギョウ</t>
    </rPh>
    <rPh sb="10" eb="12">
      <t>ジカン</t>
    </rPh>
    <phoneticPr fontId="1"/>
  </si>
  <si>
    <t>推定年間冷房負荷削減量</t>
    <rPh sb="0" eb="2">
      <t>スイテイ</t>
    </rPh>
    <rPh sb="2" eb="4">
      <t>ネンカン</t>
    </rPh>
    <rPh sb="4" eb="6">
      <t>レイボウ</t>
    </rPh>
    <rPh sb="6" eb="8">
      <t>フカ</t>
    </rPh>
    <rPh sb="8" eb="10">
      <t>サクゲン</t>
    </rPh>
    <rPh sb="10" eb="11">
      <t>リョウ</t>
    </rPh>
    <phoneticPr fontId="1"/>
  </si>
  <si>
    <t>推定年間暖房負荷削減量</t>
    <rPh sb="0" eb="2">
      <t>スイテイ</t>
    </rPh>
    <rPh sb="2" eb="4">
      <t>ネンカン</t>
    </rPh>
    <rPh sb="4" eb="6">
      <t>ダンボウ</t>
    </rPh>
    <rPh sb="6" eb="8">
      <t>フカ</t>
    </rPh>
    <rPh sb="8" eb="10">
      <t>サクゲン</t>
    </rPh>
    <rPh sb="10" eb="11">
      <t>リョウ</t>
    </rPh>
    <phoneticPr fontId="1"/>
  </si>
  <si>
    <t>空調消費電力
削減量</t>
    <rPh sb="0" eb="2">
      <t>クウチョウ</t>
    </rPh>
    <rPh sb="2" eb="4">
      <t>ショウヒ</t>
    </rPh>
    <rPh sb="4" eb="6">
      <t>デンリョク</t>
    </rPh>
    <rPh sb="7" eb="9">
      <t>サクゲン</t>
    </rPh>
    <rPh sb="9" eb="10">
      <t>リョウ</t>
    </rPh>
    <phoneticPr fontId="1"/>
  </si>
  <si>
    <t>暖房時消費電力削減量</t>
    <rPh sb="0" eb="2">
      <t>ダンボウ</t>
    </rPh>
    <rPh sb="2" eb="3">
      <t>ジ</t>
    </rPh>
    <rPh sb="3" eb="5">
      <t>ショウヒ</t>
    </rPh>
    <rPh sb="5" eb="7">
      <t>デンリョク</t>
    </rPh>
    <rPh sb="7" eb="9">
      <t>サクゲン</t>
    </rPh>
    <rPh sb="9" eb="10">
      <t>リョウ</t>
    </rPh>
    <phoneticPr fontId="1"/>
  </si>
  <si>
    <t>冷房時消費電力削減量</t>
    <rPh sb="0" eb="2">
      <t>レイボウ</t>
    </rPh>
    <rPh sb="2" eb="3">
      <t>ジ</t>
    </rPh>
    <rPh sb="3" eb="5">
      <t>ショウヒ</t>
    </rPh>
    <rPh sb="5" eb="7">
      <t>デンリョク</t>
    </rPh>
    <rPh sb="7" eb="9">
      <t>サクゲン</t>
    </rPh>
    <rPh sb="9" eb="10">
      <t>リョウ</t>
    </rPh>
    <phoneticPr fontId="1"/>
  </si>
  <si>
    <t>冷房負荷
削減量</t>
    <rPh sb="0" eb="2">
      <t>レイボウ</t>
    </rPh>
    <rPh sb="2" eb="4">
      <t>フカ</t>
    </rPh>
    <rPh sb="5" eb="7">
      <t>サクゲン</t>
    </rPh>
    <rPh sb="7" eb="8">
      <t>リョウ</t>
    </rPh>
    <phoneticPr fontId="1"/>
  </si>
  <si>
    <t>暖房負荷
削減量</t>
    <rPh sb="0" eb="2">
      <t>ダンボウ</t>
    </rPh>
    <rPh sb="2" eb="4">
      <t>フカ</t>
    </rPh>
    <rPh sb="5" eb="7">
      <t>サクゲン</t>
    </rPh>
    <rPh sb="7" eb="8">
      <t>リョウ</t>
    </rPh>
    <phoneticPr fontId="1"/>
  </si>
  <si>
    <t>冷房負荷
係数
（日射）</t>
    <rPh sb="0" eb="2">
      <t>レイボウ</t>
    </rPh>
    <rPh sb="2" eb="4">
      <t>フカ</t>
    </rPh>
    <rPh sb="5" eb="7">
      <t>ケイスウ</t>
    </rPh>
    <rPh sb="9" eb="11">
      <t>ニッシャ</t>
    </rPh>
    <phoneticPr fontId="1"/>
  </si>
  <si>
    <t>暖房負荷
係数
(温度差）</t>
    <rPh sb="0" eb="2">
      <t>ダンボウ</t>
    </rPh>
    <rPh sb="2" eb="4">
      <t>フカ</t>
    </rPh>
    <rPh sb="5" eb="7">
      <t>ケイスウ</t>
    </rPh>
    <rPh sb="9" eb="12">
      <t>オンドサ</t>
    </rPh>
    <phoneticPr fontId="1"/>
  </si>
  <si>
    <t>CO２
削減量</t>
    <rPh sb="4" eb="6">
      <t>サクゲン</t>
    </rPh>
    <rPh sb="6" eb="7">
      <t>リョウ</t>
    </rPh>
    <phoneticPr fontId="1"/>
  </si>
  <si>
    <t>空調消費電力削減量</t>
    <rPh sb="0" eb="2">
      <t>クウチョウ</t>
    </rPh>
    <rPh sb="2" eb="4">
      <t>ショウヒ</t>
    </rPh>
    <rPh sb="4" eb="6">
      <t>デンリョク</t>
    </rPh>
    <rPh sb="6" eb="8">
      <t>サクゲン</t>
    </rPh>
    <rPh sb="8" eb="9">
      <t>リョウ</t>
    </rPh>
    <phoneticPr fontId="1"/>
  </si>
  <si>
    <t>種別</t>
    <rPh sb="0" eb="2">
      <t>シュベツ</t>
    </rPh>
    <phoneticPr fontId="1"/>
  </si>
  <si>
    <t>共通事項</t>
    <rPh sb="0" eb="2">
      <t>キョウツウ</t>
    </rPh>
    <rPh sb="2" eb="4">
      <t>ジコウ</t>
    </rPh>
    <phoneticPr fontId="1"/>
  </si>
  <si>
    <t>冷房負荷</t>
    <rPh sb="0" eb="2">
      <t>レイボウ</t>
    </rPh>
    <rPh sb="2" eb="4">
      <t>フカ</t>
    </rPh>
    <phoneticPr fontId="1"/>
  </si>
  <si>
    <t>暖房負荷</t>
    <rPh sb="0" eb="2">
      <t>ダンボウ</t>
    </rPh>
    <rPh sb="2" eb="4">
      <t>フカ</t>
    </rPh>
    <phoneticPr fontId="1"/>
  </si>
  <si>
    <t>方位</t>
    <rPh sb="0" eb="2">
      <t>ホウイ</t>
    </rPh>
    <phoneticPr fontId="1"/>
  </si>
  <si>
    <t>面積</t>
    <rPh sb="0" eb="2">
      <t>メンセキ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</si>
  <si>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</si>
  <si>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時</t>
    <rPh sb="0" eb="1">
      <t>ジ</t>
    </rPh>
    <phoneticPr fontId="1"/>
  </si>
  <si>
    <t>温度差</t>
    <rPh sb="0" eb="3">
      <t>オンドサ</t>
    </rPh>
    <phoneticPr fontId="1"/>
  </si>
  <si>
    <t>実効温度差</t>
    <rPh sb="0" eb="2">
      <t>ジッコウ</t>
    </rPh>
    <rPh sb="2" eb="5">
      <t>オンドサ</t>
    </rPh>
    <phoneticPr fontId="1"/>
  </si>
  <si>
    <t>m2</t>
    <phoneticPr fontId="1"/>
  </si>
  <si>
    <t>W/m2℃</t>
    <phoneticPr fontId="1"/>
  </si>
  <si>
    <t>W</t>
    <phoneticPr fontId="1"/>
  </si>
  <si>
    <t>W</t>
    <phoneticPr fontId="1"/>
  </si>
  <si>
    <t>熱通過率</t>
    <rPh sb="0" eb="1">
      <t>ネツ</t>
    </rPh>
    <rPh sb="1" eb="3">
      <t>ツウカ</t>
    </rPh>
    <rPh sb="3" eb="4">
      <t>リツ</t>
    </rPh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</si>
  <si>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</si>
  <si>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</si>
  <si>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北</t>
    <rPh sb="0" eb="1">
      <t>キタ</t>
    </rPh>
    <phoneticPr fontId="1"/>
  </si>
  <si>
    <t>北東</t>
    <rPh sb="0" eb="2">
      <t>ホクトウ</t>
    </rPh>
    <phoneticPr fontId="1"/>
  </si>
  <si>
    <t>東</t>
    <rPh sb="0" eb="1">
      <t>ヒガシ</t>
    </rPh>
    <phoneticPr fontId="1"/>
  </si>
  <si>
    <t>南東</t>
    <rPh sb="0" eb="2">
      <t>ナントウ</t>
    </rPh>
    <phoneticPr fontId="1"/>
  </si>
  <si>
    <t>南</t>
    <rPh sb="0" eb="1">
      <t>ミナミ</t>
    </rPh>
    <phoneticPr fontId="1"/>
  </si>
  <si>
    <t>南西</t>
    <rPh sb="0" eb="2">
      <t>ナンセイ</t>
    </rPh>
    <phoneticPr fontId="1"/>
  </si>
  <si>
    <t>西</t>
    <rPh sb="0" eb="1">
      <t>ニシ</t>
    </rPh>
    <phoneticPr fontId="1"/>
  </si>
  <si>
    <t>北西</t>
    <rPh sb="0" eb="2">
      <t>ホクセイ</t>
    </rPh>
    <phoneticPr fontId="1"/>
  </si>
  <si>
    <t>窓ガラス</t>
    <rPh sb="0" eb="1">
      <t>マド</t>
    </rPh>
    <phoneticPr fontId="1"/>
  </si>
  <si>
    <t>小計</t>
    <rPh sb="0" eb="2">
      <t>ショウケイ</t>
    </rPh>
    <phoneticPr fontId="1"/>
  </si>
  <si>
    <t>遮蔽係数</t>
    <rPh sb="0" eb="2">
      <t>シャヘイ</t>
    </rPh>
    <rPh sb="2" eb="4">
      <t>ケイスウ</t>
    </rPh>
    <phoneticPr fontId="1"/>
  </si>
  <si>
    <t>標準日射取得</t>
    <rPh sb="0" eb="2">
      <t>ヒョウジュン</t>
    </rPh>
    <rPh sb="2" eb="4">
      <t>ニッシャ</t>
    </rPh>
    <rPh sb="4" eb="6">
      <t>シュトク</t>
    </rPh>
    <phoneticPr fontId="1"/>
  </si>
  <si>
    <t>W/m2</t>
    <phoneticPr fontId="1"/>
  </si>
  <si>
    <t>日射</t>
    <rPh sb="0" eb="2">
      <t>ニッシャ</t>
    </rPh>
    <phoneticPr fontId="1"/>
  </si>
  <si>
    <t>W</t>
    <phoneticPr fontId="1"/>
  </si>
  <si>
    <t>表－２の結果</t>
    <rPh sb="0" eb="1">
      <t>ヒョウ</t>
    </rPh>
    <rPh sb="4" eb="6">
      <t>ケッカ</t>
    </rPh>
    <phoneticPr fontId="1"/>
  </si>
  <si>
    <t>表－３の結果</t>
    <rPh sb="0" eb="1">
      <t>ヒョウ</t>
    </rPh>
    <rPh sb="4" eb="6">
      <t>ケッカ</t>
    </rPh>
    <phoneticPr fontId="1"/>
  </si>
  <si>
    <t>削減できる熱量</t>
    <rPh sb="0" eb="2">
      <t>サクゲン</t>
    </rPh>
    <rPh sb="5" eb="7">
      <t>ネツリョウ</t>
    </rPh>
    <phoneticPr fontId="1"/>
  </si>
  <si>
    <t>項目</t>
    <rPh sb="0" eb="2">
      <t>コウモク</t>
    </rPh>
    <phoneticPr fontId="1"/>
  </si>
  <si>
    <t>設置されている冷熱源のCOPが把握できている場合は、その値を記入する。</t>
    <rPh sb="0" eb="2">
      <t>セッチ</t>
    </rPh>
    <rPh sb="7" eb="8">
      <t>レイ</t>
    </rPh>
    <rPh sb="8" eb="10">
      <t>ネツゲン</t>
    </rPh>
    <rPh sb="15" eb="17">
      <t>ハアク</t>
    </rPh>
    <rPh sb="22" eb="24">
      <t>バアイ</t>
    </rPh>
    <rPh sb="28" eb="29">
      <t>アタイ</t>
    </rPh>
    <rPh sb="30" eb="32">
      <t>キニュウ</t>
    </rPh>
    <phoneticPr fontId="1"/>
  </si>
  <si>
    <t>基本項目</t>
    <rPh sb="0" eb="2">
      <t>キホン</t>
    </rPh>
    <rPh sb="2" eb="4">
      <t>コウモク</t>
    </rPh>
    <phoneticPr fontId="1"/>
  </si>
  <si>
    <t>（空気調和・衛生工学会　編　熱負荷のしくみ　より引用）</t>
    <rPh sb="1" eb="3">
      <t>クウキ</t>
    </rPh>
    <rPh sb="3" eb="5">
      <t>チョウワ</t>
    </rPh>
    <rPh sb="6" eb="8">
      <t>エイセイ</t>
    </rPh>
    <rPh sb="8" eb="10">
      <t>コウガク</t>
    </rPh>
    <rPh sb="10" eb="11">
      <t>カイ</t>
    </rPh>
    <rPh sb="12" eb="13">
      <t>ヘン</t>
    </rPh>
    <rPh sb="14" eb="15">
      <t>ネツ</t>
    </rPh>
    <rPh sb="15" eb="17">
      <t>フカ</t>
    </rPh>
    <rPh sb="24" eb="26">
      <t>インヨウ</t>
    </rPh>
    <phoneticPr fontId="1"/>
  </si>
  <si>
    <t>場所</t>
    <rPh sb="0" eb="2">
      <t>バショ</t>
    </rPh>
    <phoneticPr fontId="1"/>
  </si>
  <si>
    <t>東京</t>
    <rPh sb="0" eb="2">
      <t>トウキョウ</t>
    </rPh>
    <phoneticPr fontId="1"/>
  </si>
  <si>
    <t>室内温度</t>
    <rPh sb="0" eb="2">
      <t>シツナイ</t>
    </rPh>
    <rPh sb="2" eb="4">
      <t>オンド</t>
    </rPh>
    <phoneticPr fontId="1"/>
  </si>
  <si>
    <t>℃</t>
    <phoneticPr fontId="1"/>
  </si>
  <si>
    <t>実効温度差（ETD)の定義式</t>
    <rPh sb="0" eb="2">
      <t>ジッコウ</t>
    </rPh>
    <rPh sb="2" eb="4">
      <t>オンド</t>
    </rPh>
    <rPh sb="4" eb="5">
      <t>サ</t>
    </rPh>
    <rPh sb="11" eb="13">
      <t>テイギ</t>
    </rPh>
    <rPh sb="13" eb="14">
      <t>シキ</t>
    </rPh>
    <phoneticPr fontId="1"/>
  </si>
  <si>
    <r>
      <t>ETDj＝{φ</t>
    </r>
    <r>
      <rPr>
        <vertAlign val="subscript"/>
        <sz val="11"/>
        <color theme="1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scheme val="minor"/>
      </rPr>
      <t>×SAT</t>
    </r>
    <r>
      <rPr>
        <vertAlign val="subscript"/>
        <sz val="11"/>
        <color theme="1"/>
        <rFont val="ＭＳ Ｐゴシック"/>
        <family val="3"/>
        <charset val="128"/>
        <scheme val="minor"/>
      </rPr>
      <t>j</t>
    </r>
    <r>
      <rPr>
        <sz val="11"/>
        <color theme="1"/>
        <rFont val="ＭＳ Ｐゴシック"/>
        <family val="2"/>
        <scheme val="minor"/>
      </rPr>
      <t>＋φ</t>
    </r>
    <r>
      <rPr>
        <vertAlign val="subscript"/>
        <sz val="11"/>
        <color theme="1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2"/>
        <scheme val="minor"/>
      </rPr>
      <t>×SAT</t>
    </r>
    <r>
      <rPr>
        <vertAlign val="subscript"/>
        <sz val="11"/>
        <color theme="1"/>
        <rFont val="ＭＳ Ｐゴシック"/>
        <family val="3"/>
        <charset val="128"/>
        <scheme val="minor"/>
      </rPr>
      <t>ｊ-1</t>
    </r>
    <r>
      <rPr>
        <sz val="11"/>
        <color theme="1"/>
        <rFont val="ＭＳ Ｐゴシック"/>
        <family val="2"/>
        <scheme val="minor"/>
      </rPr>
      <t>＋φ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×</t>
    </r>
    <r>
      <rPr>
        <sz val="11"/>
        <color theme="1"/>
        <rFont val="ＭＳ Ｐゴシック"/>
        <family val="3"/>
        <charset val="128"/>
        <scheme val="minor"/>
      </rPr>
      <t>SAT</t>
    </r>
    <r>
      <rPr>
        <vertAlign val="subscript"/>
        <sz val="11"/>
        <color theme="1"/>
        <rFont val="ＭＳ Ｐゴシック"/>
        <family val="3"/>
        <charset val="128"/>
        <scheme val="minor"/>
      </rPr>
      <t>j-2</t>
    </r>
    <r>
      <rPr>
        <sz val="11"/>
        <color theme="1"/>
        <rFont val="ＭＳ Ｐゴシック"/>
        <family val="2"/>
        <scheme val="minor"/>
      </rPr>
      <t>＋・・・・・・・・＋φ</t>
    </r>
    <r>
      <rPr>
        <vertAlign val="subscript"/>
        <sz val="11"/>
        <color theme="1"/>
        <rFont val="ＭＳ Ｐゴシック"/>
        <family val="3"/>
        <charset val="128"/>
        <scheme val="minor"/>
      </rPr>
      <t>22</t>
    </r>
    <r>
      <rPr>
        <sz val="11"/>
        <color theme="1"/>
        <rFont val="ＭＳ Ｐゴシック"/>
        <family val="2"/>
        <scheme val="minor"/>
      </rPr>
      <t>×</t>
    </r>
    <r>
      <rPr>
        <sz val="11"/>
        <color theme="1"/>
        <rFont val="ＭＳ Ｐゴシック"/>
        <family val="3"/>
        <charset val="128"/>
        <scheme val="minor"/>
      </rPr>
      <t>SAT</t>
    </r>
    <r>
      <rPr>
        <vertAlign val="subscript"/>
        <sz val="11"/>
        <color theme="1"/>
        <rFont val="ＭＳ Ｐゴシック"/>
        <family val="3"/>
        <charset val="128"/>
        <scheme val="minor"/>
      </rPr>
      <t>ｊ-22</t>
    </r>
    <r>
      <rPr>
        <sz val="11"/>
        <color theme="1"/>
        <rFont val="ＭＳ Ｐゴシック"/>
        <family val="3"/>
        <charset val="128"/>
        <scheme val="minor"/>
      </rPr>
      <t>＋φ</t>
    </r>
    <r>
      <rPr>
        <vertAlign val="subscript"/>
        <sz val="11"/>
        <color theme="1"/>
        <rFont val="ＭＳ Ｐゴシック"/>
        <family val="3"/>
        <charset val="128"/>
        <scheme val="minor"/>
      </rPr>
      <t>23</t>
    </r>
    <r>
      <rPr>
        <sz val="11"/>
        <color theme="1"/>
        <rFont val="ＭＳ Ｐゴシック"/>
        <family val="3"/>
        <charset val="128"/>
        <scheme val="minor"/>
      </rPr>
      <t>×SAT</t>
    </r>
    <r>
      <rPr>
        <vertAlign val="subscript"/>
        <sz val="11"/>
        <color theme="1"/>
        <rFont val="ＭＳ Ｐゴシック"/>
        <family val="3"/>
        <charset val="128"/>
        <scheme val="minor"/>
      </rPr>
      <t>ｊ-23</t>
    </r>
    <r>
      <rPr>
        <sz val="11"/>
        <color theme="1"/>
        <rFont val="ＭＳ Ｐゴシック"/>
        <family val="2"/>
        <scheme val="minor"/>
      </rPr>
      <t>}/K－Tr</t>
    </r>
    <phoneticPr fontId="1"/>
  </si>
  <si>
    <t>ETDｊ</t>
    <phoneticPr fontId="1"/>
  </si>
  <si>
    <t>時刻 ｊ における実効温度差ETD（℃）</t>
    <rPh sb="0" eb="2">
      <t>ジコク</t>
    </rPh>
    <phoneticPr fontId="1"/>
  </si>
  <si>
    <t>SATｊ</t>
    <phoneticPr fontId="1"/>
  </si>
  <si>
    <t>時刻 ｊ における相当外気温度SAT（℃）</t>
    <rPh sb="0" eb="2">
      <t>ジコク</t>
    </rPh>
    <rPh sb="9" eb="11">
      <t>ソウトウ</t>
    </rPh>
    <rPh sb="11" eb="13">
      <t>ガイキ</t>
    </rPh>
    <rPh sb="13" eb="15">
      <t>オンド</t>
    </rPh>
    <phoneticPr fontId="1"/>
  </si>
  <si>
    <r>
      <t>２４時間周期定常の外壁の環流応答係数のｎ項目（W/m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・℃）</t>
    </r>
    <rPh sb="2" eb="4">
      <t>ジカン</t>
    </rPh>
    <rPh sb="4" eb="6">
      <t>シュウキ</t>
    </rPh>
    <rPh sb="6" eb="8">
      <t>テイジョウ</t>
    </rPh>
    <rPh sb="9" eb="11">
      <t>ガイヘキ</t>
    </rPh>
    <rPh sb="12" eb="14">
      <t>カンリュウ</t>
    </rPh>
    <rPh sb="14" eb="16">
      <t>オウトウ</t>
    </rPh>
    <rPh sb="16" eb="18">
      <t>ケイスウ</t>
    </rPh>
    <rPh sb="20" eb="21">
      <t>コウ</t>
    </rPh>
    <rPh sb="21" eb="22">
      <t>メ</t>
    </rPh>
    <phoneticPr fontId="1"/>
  </si>
  <si>
    <r>
      <t>外壁・屋根の熱貫流率(W/m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scheme val="minor"/>
      </rPr>
      <t>・℃）</t>
    </r>
    <rPh sb="0" eb="2">
      <t>ガイヘキ</t>
    </rPh>
    <rPh sb="3" eb="5">
      <t>ヤネ</t>
    </rPh>
    <rPh sb="6" eb="7">
      <t>ネツ</t>
    </rPh>
    <rPh sb="7" eb="9">
      <t>カンリュウ</t>
    </rPh>
    <rPh sb="9" eb="10">
      <t>リツ</t>
    </rPh>
    <phoneticPr fontId="1"/>
  </si>
  <si>
    <t>Tr</t>
    <phoneticPr fontId="1"/>
  </si>
  <si>
    <t>室内設定温度＝26℃</t>
    <rPh sb="0" eb="2">
      <t>シツナイ</t>
    </rPh>
    <rPh sb="2" eb="4">
      <t>セッテイ</t>
    </rPh>
    <rPh sb="4" eb="6">
      <t>オンド</t>
    </rPh>
    <phoneticPr fontId="1"/>
  </si>
  <si>
    <t>実効温度の補正</t>
    <rPh sb="0" eb="2">
      <t>ジッコウ</t>
    </rPh>
    <rPh sb="2" eb="4">
      <t>オンド</t>
    </rPh>
    <rPh sb="5" eb="7">
      <t>ホセイ</t>
    </rPh>
    <phoneticPr fontId="1"/>
  </si>
  <si>
    <t>①</t>
    <phoneticPr fontId="1"/>
  </si>
  <si>
    <t>基準となる地域が「東京」、室内設定温度が「26℃」であることから、実効温度差（ETD)の補正が必要になる。</t>
    <rPh sb="0" eb="2">
      <t>キジュン</t>
    </rPh>
    <rPh sb="5" eb="7">
      <t>チイキ</t>
    </rPh>
    <rPh sb="9" eb="11">
      <t>トウキョウ</t>
    </rPh>
    <rPh sb="13" eb="15">
      <t>シツナイ</t>
    </rPh>
    <rPh sb="15" eb="17">
      <t>セッテイ</t>
    </rPh>
    <rPh sb="17" eb="19">
      <t>オンド</t>
    </rPh>
    <rPh sb="33" eb="35">
      <t>ジッコウ</t>
    </rPh>
    <rPh sb="35" eb="38">
      <t>オンドサ</t>
    </rPh>
    <rPh sb="44" eb="46">
      <t>ホセイ</t>
    </rPh>
    <rPh sb="47" eb="49">
      <t>ヒツヨウ</t>
    </rPh>
    <phoneticPr fontId="1"/>
  </si>
  <si>
    <t>補正式</t>
    <rPh sb="0" eb="2">
      <t>ホセイ</t>
    </rPh>
    <rPh sb="2" eb="3">
      <t>シキ</t>
    </rPh>
    <phoneticPr fontId="1"/>
  </si>
  <si>
    <t>ETD’＝ETD＋（To’－To）－（Tr’－Tr)</t>
    <phoneticPr fontId="1"/>
  </si>
  <si>
    <t>ETD’</t>
    <phoneticPr fontId="1"/>
  </si>
  <si>
    <t>補正した実効温度差（℃）</t>
    <rPh sb="0" eb="2">
      <t>ホセイ</t>
    </rPh>
    <rPh sb="4" eb="6">
      <t>ジッコウ</t>
    </rPh>
    <rPh sb="6" eb="9">
      <t>オンドサ</t>
    </rPh>
    <phoneticPr fontId="1"/>
  </si>
  <si>
    <t>ETD</t>
    <phoneticPr fontId="1"/>
  </si>
  <si>
    <t>元の実効温度差（℃）</t>
    <rPh sb="0" eb="1">
      <t>モト</t>
    </rPh>
    <rPh sb="2" eb="4">
      <t>ジッコウ</t>
    </rPh>
    <rPh sb="4" eb="7">
      <t>オンドサ</t>
    </rPh>
    <phoneticPr fontId="1"/>
  </si>
  <si>
    <t>To’</t>
    <phoneticPr fontId="1"/>
  </si>
  <si>
    <t>熊谷市の外気温度</t>
    <rPh sb="0" eb="3">
      <t>クマガヤシ</t>
    </rPh>
    <rPh sb="4" eb="6">
      <t>ガイキ</t>
    </rPh>
    <rPh sb="6" eb="8">
      <t>オンド</t>
    </rPh>
    <phoneticPr fontId="1"/>
  </si>
  <si>
    <t>℃（気象庁の当該地域の８月日最高気温）</t>
    <rPh sb="2" eb="5">
      <t>キショウチョウ</t>
    </rPh>
    <rPh sb="6" eb="8">
      <t>トウガイ</t>
    </rPh>
    <rPh sb="8" eb="10">
      <t>チイキ</t>
    </rPh>
    <rPh sb="12" eb="13">
      <t>ガツ</t>
    </rPh>
    <rPh sb="13" eb="14">
      <t>ニチ</t>
    </rPh>
    <rPh sb="14" eb="16">
      <t>サイコウ</t>
    </rPh>
    <rPh sb="16" eb="18">
      <t>キオン</t>
    </rPh>
    <phoneticPr fontId="1"/>
  </si>
  <si>
    <t>To</t>
    <phoneticPr fontId="1"/>
  </si>
  <si>
    <t>東京都の外気温度</t>
    <rPh sb="0" eb="2">
      <t>トウキョウ</t>
    </rPh>
    <rPh sb="2" eb="3">
      <t>ト</t>
    </rPh>
    <rPh sb="4" eb="6">
      <t>ガイキ</t>
    </rPh>
    <rPh sb="6" eb="8">
      <t>オンド</t>
    </rPh>
    <phoneticPr fontId="1"/>
  </si>
  <si>
    <t>℃（気象庁の東京都の８月日最高気温）</t>
    <rPh sb="2" eb="5">
      <t>キショウチョウ</t>
    </rPh>
    <rPh sb="6" eb="9">
      <t>トウキョウト</t>
    </rPh>
    <rPh sb="11" eb="12">
      <t>ガツ</t>
    </rPh>
    <rPh sb="12" eb="13">
      <t>ニチ</t>
    </rPh>
    <rPh sb="13" eb="15">
      <t>サイコウ</t>
    </rPh>
    <rPh sb="15" eb="17">
      <t>キオン</t>
    </rPh>
    <phoneticPr fontId="1"/>
  </si>
  <si>
    <t>Tr’</t>
    <phoneticPr fontId="1"/>
  </si>
  <si>
    <t>任意の室内設定温度</t>
    <rPh sb="0" eb="2">
      <t>ニンイ</t>
    </rPh>
    <rPh sb="3" eb="5">
      <t>シツナイ</t>
    </rPh>
    <rPh sb="5" eb="7">
      <t>セッテイ</t>
    </rPh>
    <rPh sb="7" eb="9">
      <t>オンド</t>
    </rPh>
    <phoneticPr fontId="1"/>
  </si>
  <si>
    <t>基準の室内設定温度</t>
    <rPh sb="0" eb="2">
      <t>キジュン</t>
    </rPh>
    <rPh sb="3" eb="5">
      <t>シツナイ</t>
    </rPh>
    <rPh sb="5" eb="7">
      <t>セッテイ</t>
    </rPh>
    <rPh sb="7" eb="9">
      <t>オンド</t>
    </rPh>
    <phoneticPr fontId="1"/>
  </si>
  <si>
    <t>℃（夏季）</t>
    <rPh sb="2" eb="4">
      <t>カキ</t>
    </rPh>
    <phoneticPr fontId="1"/>
  </si>
  <si>
    <t>℃（中間期）</t>
    <rPh sb="2" eb="5">
      <t>チュウカンキ</t>
    </rPh>
    <phoneticPr fontId="1"/>
  </si>
  <si>
    <t>熊谷市におけるETD’の補正値は、</t>
    <rPh sb="0" eb="3">
      <t>クマガヤシ</t>
    </rPh>
    <rPh sb="12" eb="14">
      <t>ホセイ</t>
    </rPh>
    <rPh sb="14" eb="15">
      <t>アタイ</t>
    </rPh>
    <phoneticPr fontId="1"/>
  </si>
  <si>
    <t>ETD’＝</t>
    <phoneticPr fontId="1"/>
  </si>
  <si>
    <t>ETD＋</t>
    <phoneticPr fontId="1"/>
  </si>
  <si>
    <t>＝ETD ＋</t>
    <phoneticPr fontId="1"/>
  </si>
  <si>
    <t>②</t>
    <phoneticPr fontId="1"/>
  </si>
  <si>
    <t>壁表面の日射吸収率が異なる場合は、次の補正が必要になる。</t>
    <rPh sb="0" eb="1">
      <t>カベ</t>
    </rPh>
    <rPh sb="1" eb="3">
      <t>ヒョウメン</t>
    </rPh>
    <rPh sb="4" eb="6">
      <t>ニッシャ</t>
    </rPh>
    <rPh sb="6" eb="8">
      <t>キュウシュウ</t>
    </rPh>
    <rPh sb="8" eb="9">
      <t>リツ</t>
    </rPh>
    <rPh sb="10" eb="11">
      <t>コト</t>
    </rPh>
    <rPh sb="13" eb="15">
      <t>バアイ</t>
    </rPh>
    <rPh sb="17" eb="18">
      <t>ツギ</t>
    </rPh>
    <rPh sb="19" eb="21">
      <t>ホセイ</t>
    </rPh>
    <rPh sb="22" eb="24">
      <t>ヒツヨウ</t>
    </rPh>
    <phoneticPr fontId="1"/>
  </si>
  <si>
    <t>①の補正を行う前に、日射吸収率の補正を行う</t>
    <rPh sb="2" eb="4">
      <t>ホセイ</t>
    </rPh>
    <rPh sb="5" eb="6">
      <t>オコナ</t>
    </rPh>
    <rPh sb="7" eb="8">
      <t>マエ</t>
    </rPh>
    <rPh sb="10" eb="12">
      <t>ニッシャ</t>
    </rPh>
    <rPh sb="12" eb="14">
      <t>キュウシュウ</t>
    </rPh>
    <rPh sb="14" eb="15">
      <t>リツ</t>
    </rPh>
    <rPh sb="16" eb="18">
      <t>ホセイ</t>
    </rPh>
    <rPh sb="19" eb="20">
      <t>オコナ</t>
    </rPh>
    <phoneticPr fontId="1"/>
  </si>
  <si>
    <r>
      <t>ETD’’＝（ａ／0.7）×（ＥＴＤ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</t>
    </r>
    <r>
      <rPr>
        <sz val="11"/>
        <color theme="1"/>
        <rFont val="ＭＳ Ｐゴシック"/>
        <family val="2"/>
        <scheme val="minor"/>
      </rPr>
      <t>－ＥＴＤ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0.7・影</t>
    </r>
    <r>
      <rPr>
        <sz val="11"/>
        <color theme="1"/>
        <rFont val="ＭＳ Ｐゴシック"/>
        <family val="2"/>
        <scheme val="minor"/>
      </rPr>
      <t>）＋ＥＴＤ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0.7・影</t>
    </r>
    <rPh sb="29" eb="30">
      <t>カゲ</t>
    </rPh>
    <rPh sb="39" eb="40">
      <t>カゲ</t>
    </rPh>
    <phoneticPr fontId="1"/>
  </si>
  <si>
    <t>ＥＴＤは、日射吸収率を「０．７」を基準として、算出している。</t>
    <rPh sb="5" eb="7">
      <t>ニッシャ</t>
    </rPh>
    <rPh sb="7" eb="9">
      <t>キュウシュウ</t>
    </rPh>
    <rPh sb="9" eb="10">
      <t>リツ</t>
    </rPh>
    <rPh sb="17" eb="19">
      <t>キジュン</t>
    </rPh>
    <rPh sb="23" eb="25">
      <t>サンシュツ</t>
    </rPh>
    <phoneticPr fontId="1"/>
  </si>
  <si>
    <t>その為に、遮熱等の対策により、外壁や屋根の表面を仕上げる塗料等の材料によっては</t>
    <rPh sb="2" eb="3">
      <t>タメ</t>
    </rPh>
    <rPh sb="5" eb="7">
      <t>シャネツ</t>
    </rPh>
    <rPh sb="7" eb="8">
      <t>ナド</t>
    </rPh>
    <rPh sb="9" eb="11">
      <t>タイサク</t>
    </rPh>
    <rPh sb="15" eb="17">
      <t>ガイヘキ</t>
    </rPh>
    <rPh sb="18" eb="20">
      <t>ヤネ</t>
    </rPh>
    <rPh sb="21" eb="23">
      <t>ヒョウメン</t>
    </rPh>
    <rPh sb="24" eb="26">
      <t>シア</t>
    </rPh>
    <rPh sb="28" eb="30">
      <t>トリョウ</t>
    </rPh>
    <rPh sb="30" eb="31">
      <t>ナド</t>
    </rPh>
    <rPh sb="32" eb="34">
      <t>ザイリョウ</t>
    </rPh>
    <phoneticPr fontId="1"/>
  </si>
  <si>
    <t>日射吸収率がその材料にあった数値に補正する必要がある。</t>
    <rPh sb="0" eb="2">
      <t>ニッシャ</t>
    </rPh>
    <rPh sb="2" eb="4">
      <t>キュウシュウ</t>
    </rPh>
    <rPh sb="4" eb="5">
      <t>リツ</t>
    </rPh>
    <rPh sb="8" eb="10">
      <t>ザイリョウ</t>
    </rPh>
    <rPh sb="14" eb="16">
      <t>スウチ</t>
    </rPh>
    <rPh sb="17" eb="19">
      <t>ホセイ</t>
    </rPh>
    <rPh sb="21" eb="23">
      <t>ヒツヨウ</t>
    </rPh>
    <phoneticPr fontId="1"/>
  </si>
  <si>
    <t>日射吸収率の変更に伴う補正後のＥＴＤ（℃）</t>
    <rPh sb="0" eb="2">
      <t>ニッシャ</t>
    </rPh>
    <rPh sb="2" eb="4">
      <t>キュウシュウ</t>
    </rPh>
    <rPh sb="4" eb="5">
      <t>リツ</t>
    </rPh>
    <rPh sb="6" eb="8">
      <t>ヘンコウ</t>
    </rPh>
    <rPh sb="9" eb="10">
      <t>トモナ</t>
    </rPh>
    <rPh sb="11" eb="13">
      <t>ホセイ</t>
    </rPh>
    <rPh sb="13" eb="14">
      <t>ゴ</t>
    </rPh>
    <phoneticPr fontId="1"/>
  </si>
  <si>
    <t>対策によって採用された材料の日射吸収率（－）</t>
    <rPh sb="0" eb="2">
      <t>タイサク</t>
    </rPh>
    <rPh sb="6" eb="8">
      <t>サイヨウ</t>
    </rPh>
    <rPh sb="11" eb="13">
      <t>ザイリョウ</t>
    </rPh>
    <rPh sb="14" eb="16">
      <t>ニッシャ</t>
    </rPh>
    <rPh sb="16" eb="18">
      <t>キュウシュウ</t>
    </rPh>
    <rPh sb="18" eb="19">
      <t>リツ</t>
    </rPh>
    <phoneticPr fontId="1"/>
  </si>
  <si>
    <t>基準となる日射吸収率（－）</t>
    <rPh sb="0" eb="2">
      <t>キジュン</t>
    </rPh>
    <rPh sb="5" eb="7">
      <t>ニッシャ</t>
    </rPh>
    <rPh sb="7" eb="9">
      <t>キュウシュウ</t>
    </rPh>
    <rPh sb="9" eb="10">
      <t>リツ</t>
    </rPh>
    <phoneticPr fontId="1"/>
  </si>
  <si>
    <t>日射吸収率が0.7の実効温度差（℃）</t>
    <rPh sb="0" eb="2">
      <t>ニッシャ</t>
    </rPh>
    <rPh sb="2" eb="4">
      <t>キュウシュウ</t>
    </rPh>
    <rPh sb="4" eb="5">
      <t>リツ</t>
    </rPh>
    <rPh sb="10" eb="12">
      <t>ジッコウ</t>
    </rPh>
    <rPh sb="12" eb="15">
      <t>オンドサ</t>
    </rPh>
    <phoneticPr fontId="1"/>
  </si>
  <si>
    <t>日射吸収率が0.7で、日影の実効温度差（℃）</t>
    <rPh sb="0" eb="2">
      <t>ニッシャ</t>
    </rPh>
    <rPh sb="2" eb="4">
      <t>キュウシュウ</t>
    </rPh>
    <rPh sb="4" eb="5">
      <t>リツ</t>
    </rPh>
    <rPh sb="11" eb="13">
      <t>ヒカゲ</t>
    </rPh>
    <rPh sb="14" eb="16">
      <t>ジッコウ</t>
    </rPh>
    <rPh sb="16" eb="19">
      <t>オンドサ</t>
    </rPh>
    <phoneticPr fontId="1"/>
  </si>
  <si>
    <t>③</t>
    <phoneticPr fontId="1"/>
  </si>
  <si>
    <t>表－２は、上記①の補正を行ったもの</t>
    <rPh sb="0" eb="1">
      <t>ヒョウ</t>
    </rPh>
    <rPh sb="5" eb="7">
      <t>ジョウキ</t>
    </rPh>
    <rPh sb="9" eb="11">
      <t>ホセイ</t>
    </rPh>
    <rPh sb="12" eb="13">
      <t>オコナ</t>
    </rPh>
    <phoneticPr fontId="1"/>
  </si>
  <si>
    <t>（重要）</t>
    <rPh sb="1" eb="3">
      <t>ジュウヨウ</t>
    </rPh>
    <phoneticPr fontId="1"/>
  </si>
  <si>
    <t>壁タイプ</t>
    <rPh sb="0" eb="1">
      <t>カベ</t>
    </rPh>
    <phoneticPr fontId="1"/>
  </si>
  <si>
    <t>時刻</t>
    <rPh sb="0" eb="2">
      <t>ジコク</t>
    </rPh>
    <phoneticPr fontId="1"/>
  </si>
  <si>
    <t>日影</t>
    <rPh sb="0" eb="2">
      <t>ヒカゲ</t>
    </rPh>
    <phoneticPr fontId="1"/>
  </si>
  <si>
    <t>水平</t>
    <rPh sb="0" eb="2">
      <t>スイヘイ</t>
    </rPh>
    <phoneticPr fontId="1"/>
  </si>
  <si>
    <t>N(北）</t>
    <rPh sb="2" eb="3">
      <t>キタ</t>
    </rPh>
    <phoneticPr fontId="1"/>
  </si>
  <si>
    <t>NE(北東）</t>
    <rPh sb="3" eb="5">
      <t>ホクトウ</t>
    </rPh>
    <phoneticPr fontId="1"/>
  </si>
  <si>
    <t>E（東）</t>
    <rPh sb="2" eb="3">
      <t>ヒガシ</t>
    </rPh>
    <phoneticPr fontId="1"/>
  </si>
  <si>
    <t>SE(南東）</t>
    <rPh sb="3" eb="5">
      <t>ナントウ</t>
    </rPh>
    <phoneticPr fontId="1"/>
  </si>
  <si>
    <t>S(南）</t>
    <rPh sb="2" eb="3">
      <t>ミナミ</t>
    </rPh>
    <phoneticPr fontId="1"/>
  </si>
  <si>
    <t>SW(南西）</t>
    <rPh sb="3" eb="5">
      <t>ナンセイ</t>
    </rPh>
    <phoneticPr fontId="1"/>
  </si>
  <si>
    <t>W(西）</t>
    <rPh sb="2" eb="3">
      <t>ニシ</t>
    </rPh>
    <phoneticPr fontId="1"/>
  </si>
  <si>
    <t>NW(北西）</t>
    <rPh sb="3" eb="5">
      <t>ホクセイ</t>
    </rPh>
    <phoneticPr fontId="1"/>
  </si>
  <si>
    <t>外壁、屋根の対策後の材料において、表面の仕上げ材の日射吸収率に変更が無い場合は、表－２を使用する。</t>
    <rPh sb="0" eb="2">
      <t>ガイヘキ</t>
    </rPh>
    <rPh sb="3" eb="5">
      <t>ヤネ</t>
    </rPh>
    <rPh sb="6" eb="8">
      <t>タイサク</t>
    </rPh>
    <rPh sb="8" eb="9">
      <t>ゴ</t>
    </rPh>
    <rPh sb="10" eb="12">
      <t>ザイリョウ</t>
    </rPh>
    <rPh sb="17" eb="19">
      <t>ヒョウメン</t>
    </rPh>
    <rPh sb="20" eb="22">
      <t>シア</t>
    </rPh>
    <rPh sb="23" eb="24">
      <t>ザイ</t>
    </rPh>
    <rPh sb="25" eb="27">
      <t>ニッシャ</t>
    </rPh>
    <rPh sb="27" eb="29">
      <t>キュウシュウ</t>
    </rPh>
    <rPh sb="29" eb="30">
      <t>リツ</t>
    </rPh>
    <rPh sb="31" eb="33">
      <t>ヘンコウ</t>
    </rPh>
    <rPh sb="34" eb="35">
      <t>ナ</t>
    </rPh>
    <rPh sb="36" eb="38">
      <t>バアイ</t>
    </rPh>
    <rPh sb="40" eb="41">
      <t>ヒョウ</t>
    </rPh>
    <rPh sb="44" eb="46">
      <t>シヨウ</t>
    </rPh>
    <phoneticPr fontId="1"/>
  </si>
  <si>
    <t>表－３　表－１に対して、日射吸収率を変更した実効温度差（ETD)</t>
    <rPh sb="0" eb="1">
      <t>ヒョウ</t>
    </rPh>
    <rPh sb="4" eb="5">
      <t>ヒョウ</t>
    </rPh>
    <rPh sb="8" eb="9">
      <t>タイ</t>
    </rPh>
    <rPh sb="12" eb="14">
      <t>ニッシャ</t>
    </rPh>
    <rPh sb="14" eb="16">
      <t>キュウシュウ</t>
    </rPh>
    <rPh sb="16" eb="17">
      <t>リツ</t>
    </rPh>
    <rPh sb="18" eb="20">
      <t>ヘンコウ</t>
    </rPh>
    <rPh sb="22" eb="24">
      <t>ジッコウ</t>
    </rPh>
    <rPh sb="24" eb="27">
      <t>オンドサ</t>
    </rPh>
    <phoneticPr fontId="1"/>
  </si>
  <si>
    <r>
      <t>ETD’’＝（ａ／0.7）×（ＥＴＤ</t>
    </r>
    <r>
      <rPr>
        <vertAlign val="subscript"/>
        <sz val="10"/>
        <color theme="1"/>
        <rFont val="ＭＳ Ｐゴシック"/>
        <family val="3"/>
        <charset val="128"/>
        <scheme val="minor"/>
      </rPr>
      <t>0.7</t>
    </r>
    <r>
      <rPr>
        <sz val="10"/>
        <color theme="1"/>
        <rFont val="ＭＳ Ｐゴシック"/>
        <family val="3"/>
        <charset val="128"/>
        <scheme val="minor"/>
      </rPr>
      <t>－ＥＴＤ</t>
    </r>
    <r>
      <rPr>
        <vertAlign val="subscript"/>
        <sz val="10"/>
        <color theme="1"/>
        <rFont val="ＭＳ Ｐゴシック"/>
        <family val="3"/>
        <charset val="128"/>
        <scheme val="minor"/>
      </rPr>
      <t>0.7・影</t>
    </r>
    <r>
      <rPr>
        <sz val="10"/>
        <color theme="1"/>
        <rFont val="ＭＳ Ｐゴシック"/>
        <family val="3"/>
        <charset val="128"/>
        <scheme val="minor"/>
      </rPr>
      <t>）＋ＥＴＤ</t>
    </r>
    <r>
      <rPr>
        <vertAlign val="subscript"/>
        <sz val="10"/>
        <color theme="1"/>
        <rFont val="ＭＳ Ｐゴシック"/>
        <family val="3"/>
        <charset val="128"/>
        <scheme val="minor"/>
      </rPr>
      <t>0.7・影</t>
    </r>
    <rPh sb="29" eb="30">
      <t>カゲ</t>
    </rPh>
    <rPh sb="39" eb="40">
      <t>カゲ</t>
    </rPh>
    <phoneticPr fontId="1"/>
  </si>
  <si>
    <t>標準日射熱取得(W/m2)</t>
    <rPh sb="0" eb="2">
      <t>ヒョウジュン</t>
    </rPh>
    <rPh sb="2" eb="4">
      <t>ニッシャ</t>
    </rPh>
    <rPh sb="4" eb="5">
      <t>ネツ</t>
    </rPh>
    <rPh sb="5" eb="7">
      <t>シュトク</t>
    </rPh>
    <phoneticPr fontId="1"/>
  </si>
  <si>
    <t>NE（北東）</t>
    <rPh sb="3" eb="5">
      <t>ホクトウ</t>
    </rPh>
    <phoneticPr fontId="1"/>
  </si>
  <si>
    <t>SW(南西）</t>
    <rPh sb="3" eb="4">
      <t>ミナミ</t>
    </rPh>
    <rPh sb="4" eb="5">
      <t>ニシ</t>
    </rPh>
    <phoneticPr fontId="1"/>
  </si>
  <si>
    <t>空気調和ハンドブックＰ４９ 表－１より引用</t>
    <rPh sb="0" eb="2">
      <t>クウキ</t>
    </rPh>
    <rPh sb="2" eb="4">
      <t>チョウワ</t>
    </rPh>
    <rPh sb="14" eb="15">
      <t>ヒョウ</t>
    </rPh>
    <rPh sb="19" eb="21">
      <t>インヨウ</t>
    </rPh>
    <phoneticPr fontId="1"/>
  </si>
  <si>
    <t>遮熱塗装の日射吸収率</t>
    <rPh sb="0" eb="2">
      <t>シャネツ</t>
    </rPh>
    <rPh sb="2" eb="4">
      <t>トソウ</t>
    </rPh>
    <rPh sb="5" eb="7">
      <t>ニッシャ</t>
    </rPh>
    <rPh sb="7" eb="9">
      <t>キュウシュウ</t>
    </rPh>
    <rPh sb="9" eb="10">
      <t>リツ</t>
    </rPh>
    <phoneticPr fontId="1"/>
  </si>
  <si>
    <t>冷房負荷（W)</t>
    <rPh sb="0" eb="2">
      <t>レイボウ</t>
    </rPh>
    <rPh sb="2" eb="4">
      <t>フカ</t>
    </rPh>
    <phoneticPr fontId="1"/>
  </si>
  <si>
    <t>暖房負荷（W)</t>
    <rPh sb="0" eb="2">
      <t>ダンボウ</t>
    </rPh>
    <rPh sb="2" eb="4">
      <t>フカ</t>
    </rPh>
    <phoneticPr fontId="1"/>
  </si>
  <si>
    <t>消費電力計算の採用値</t>
    <rPh sb="0" eb="2">
      <t>ショウヒ</t>
    </rPh>
    <rPh sb="2" eb="4">
      <t>デンリョク</t>
    </rPh>
    <rPh sb="4" eb="6">
      <t>ケイサン</t>
    </rPh>
    <rPh sb="7" eb="9">
      <t>サイヨウ</t>
    </rPh>
    <rPh sb="9" eb="10">
      <t>アタイ</t>
    </rPh>
    <phoneticPr fontId="1"/>
  </si>
  <si>
    <t>合計値</t>
    <rPh sb="0" eb="3">
      <t>ゴウケイチ</t>
    </rPh>
    <phoneticPr fontId="1"/>
  </si>
  <si>
    <t>暑さ対策の温度条件</t>
    <rPh sb="0" eb="1">
      <t>アツ</t>
    </rPh>
    <rPh sb="2" eb="4">
      <t>タイサク</t>
    </rPh>
    <rPh sb="5" eb="7">
      <t>オンド</t>
    </rPh>
    <rPh sb="7" eb="9">
      <t>ジョウケン</t>
    </rPh>
    <phoneticPr fontId="1"/>
  </si>
  <si>
    <t>設計の諸言としては、下記の温度条件による。</t>
    <rPh sb="0" eb="2">
      <t>セッケイ</t>
    </rPh>
    <rPh sb="3" eb="5">
      <t>ショゲン</t>
    </rPh>
    <rPh sb="10" eb="12">
      <t>カキ</t>
    </rPh>
    <rPh sb="13" eb="15">
      <t>オンド</t>
    </rPh>
    <rPh sb="15" eb="17">
      <t>ジョウケン</t>
    </rPh>
    <phoneticPr fontId="1"/>
  </si>
  <si>
    <t>暑さ対策の導入前、導入後の比較を行うために、一律同じ条件による。</t>
    <rPh sb="0" eb="1">
      <t>アツ</t>
    </rPh>
    <rPh sb="2" eb="4">
      <t>タイサク</t>
    </rPh>
    <rPh sb="5" eb="7">
      <t>ドウニュウ</t>
    </rPh>
    <rPh sb="7" eb="8">
      <t>マエ</t>
    </rPh>
    <rPh sb="9" eb="11">
      <t>ドウニュウ</t>
    </rPh>
    <rPh sb="11" eb="12">
      <t>ゴ</t>
    </rPh>
    <rPh sb="13" eb="15">
      <t>ヒカク</t>
    </rPh>
    <rPh sb="16" eb="17">
      <t>オコナ</t>
    </rPh>
    <rPh sb="22" eb="24">
      <t>イチリツ</t>
    </rPh>
    <rPh sb="24" eb="25">
      <t>オナ</t>
    </rPh>
    <rPh sb="26" eb="28">
      <t>ジョウケン</t>
    </rPh>
    <phoneticPr fontId="1"/>
  </si>
  <si>
    <t>単位</t>
    <rPh sb="0" eb="2">
      <t>タンイ</t>
    </rPh>
    <phoneticPr fontId="1"/>
  </si>
  <si>
    <t>項目</t>
    <rPh sb="0" eb="2">
      <t>コウモク</t>
    </rPh>
    <phoneticPr fontId="1"/>
  </si>
  <si>
    <t>℃</t>
    <phoneticPr fontId="1"/>
  </si>
  <si>
    <t>※気象庁ホームページより引用</t>
    <rPh sb="1" eb="4">
      <t>キショウチョウ</t>
    </rPh>
    <rPh sb="12" eb="14">
      <t>インヨウ</t>
    </rPh>
    <phoneticPr fontId="1"/>
  </si>
  <si>
    <t>最高気温※</t>
    <rPh sb="0" eb="2">
      <t>サイコウ</t>
    </rPh>
    <rPh sb="2" eb="4">
      <t>キオン</t>
    </rPh>
    <phoneticPr fontId="1"/>
  </si>
  <si>
    <t>最低気温※</t>
    <rPh sb="0" eb="2">
      <t>サイテイ</t>
    </rPh>
    <rPh sb="2" eb="4">
      <t>キオン</t>
    </rPh>
    <phoneticPr fontId="1"/>
  </si>
  <si>
    <t>当該施設の操業・営業時間</t>
    <rPh sb="0" eb="2">
      <t>トウガイ</t>
    </rPh>
    <rPh sb="2" eb="4">
      <t>シセツ</t>
    </rPh>
    <rPh sb="5" eb="7">
      <t>ソウギョウ</t>
    </rPh>
    <rPh sb="8" eb="10">
      <t>エイギョウ</t>
    </rPh>
    <rPh sb="10" eb="12">
      <t>ジカン</t>
    </rPh>
    <phoneticPr fontId="1"/>
  </si>
  <si>
    <t>日/月</t>
    <rPh sb="0" eb="1">
      <t>ヒ</t>
    </rPh>
    <rPh sb="2" eb="3">
      <t>ツキ</t>
    </rPh>
    <phoneticPr fontId="1"/>
  </si>
  <si>
    <t>h/日</t>
    <rPh sb="2" eb="3">
      <t>ヒ</t>
    </rPh>
    <phoneticPr fontId="1"/>
  </si>
  <si>
    <t>h/月</t>
    <rPh sb="2" eb="3">
      <t>ツキ</t>
    </rPh>
    <phoneticPr fontId="1"/>
  </si>
  <si>
    <t>月当たりの平均操業・営業時間</t>
    <rPh sb="0" eb="1">
      <t>ツキ</t>
    </rPh>
    <rPh sb="1" eb="2">
      <t>ア</t>
    </rPh>
    <rPh sb="5" eb="7">
      <t>ヘイキン</t>
    </rPh>
    <rPh sb="7" eb="9">
      <t>ソウギョウ</t>
    </rPh>
    <rPh sb="10" eb="12">
      <t>エイギョウ</t>
    </rPh>
    <rPh sb="12" eb="14">
      <t>ジカン</t>
    </rPh>
    <phoneticPr fontId="1"/>
  </si>
  <si>
    <t>既存空調設備の冷熱源のCOP（成績係数）</t>
    <rPh sb="0" eb="2">
      <t>キゾン</t>
    </rPh>
    <rPh sb="2" eb="4">
      <t>クウチョウ</t>
    </rPh>
    <rPh sb="4" eb="6">
      <t>セツビ</t>
    </rPh>
    <rPh sb="7" eb="8">
      <t>レイ</t>
    </rPh>
    <rPh sb="8" eb="10">
      <t>ネツゲン</t>
    </rPh>
    <rPh sb="15" eb="17">
      <t>セイセキ</t>
    </rPh>
    <rPh sb="17" eb="19">
      <t>ケイスウ</t>
    </rPh>
    <phoneticPr fontId="1"/>
  </si>
  <si>
    <t>冷房用COP</t>
    <rPh sb="0" eb="2">
      <t>レイボウ</t>
    </rPh>
    <rPh sb="2" eb="3">
      <t>ヨウ</t>
    </rPh>
    <phoneticPr fontId="1"/>
  </si>
  <si>
    <t>黄色の着色部に必要事項を入力する。</t>
    <rPh sb="0" eb="2">
      <t>キイロ</t>
    </rPh>
    <rPh sb="3" eb="5">
      <t>チャクショク</t>
    </rPh>
    <rPh sb="5" eb="6">
      <t>ブ</t>
    </rPh>
    <rPh sb="7" eb="9">
      <t>ヒツヨウ</t>
    </rPh>
    <rPh sb="9" eb="11">
      <t>ジコウ</t>
    </rPh>
    <rPh sb="12" eb="14">
      <t>ニュウリョク</t>
    </rPh>
    <phoneticPr fontId="1"/>
  </si>
  <si>
    <t>不明あるいは把握できない場合は、数値の変更は行わない。</t>
    <rPh sb="0" eb="2">
      <t>フメイ</t>
    </rPh>
    <rPh sb="6" eb="8">
      <t>ハアク</t>
    </rPh>
    <rPh sb="12" eb="14">
      <t>バアイ</t>
    </rPh>
    <rPh sb="16" eb="18">
      <t>スウチ</t>
    </rPh>
    <rPh sb="19" eb="21">
      <t>ヘンコウ</t>
    </rPh>
    <rPh sb="22" eb="23">
      <t>オコナ</t>
    </rPh>
    <phoneticPr fontId="1"/>
  </si>
  <si>
    <t>表－１　暑さ対策導入前の冷暖房熱負荷計算</t>
    <rPh sb="0" eb="1">
      <t>ヒョウ</t>
    </rPh>
    <rPh sb="4" eb="5">
      <t>アツ</t>
    </rPh>
    <rPh sb="6" eb="8">
      <t>タイサク</t>
    </rPh>
    <rPh sb="8" eb="10">
      <t>ドウニュウ</t>
    </rPh>
    <rPh sb="10" eb="11">
      <t>マエ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</si>
  <si>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t>表－２　暑さ対策導入後の冷暖房熱負荷計算</t>
    <rPh sb="0" eb="1">
      <t>ヒョウ</t>
    </rPh>
    <rPh sb="4" eb="5">
      <t>アツ</t>
    </rPh>
    <rPh sb="6" eb="8">
      <t>タイサク</t>
    </rPh>
    <rPh sb="8" eb="10">
      <t>ドウニュウ</t>
    </rPh>
    <rPh sb="10" eb="11">
      <t>ゴ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</si>
  <si>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t>表－３　暑さ対策導入前後の冷暖房熱負荷削減量</t>
    <rPh sb="0" eb="1">
      <t>ヒョウ</t>
    </rPh>
    <rPh sb="4" eb="5">
      <t>アツ</t>
    </rPh>
    <rPh sb="6" eb="8">
      <t>タイサク</t>
    </rPh>
    <rPh sb="8" eb="10">
      <t>ドウニュウ</t>
    </rPh>
    <rPh sb="10" eb="12">
      <t>ゼンゴ</t>
    </rPh>
    <rPh sb="13" eb="16">
      <t>レイダンボウ</t>
    </rPh>
    <rPh sb="16" eb="17">
      <t>ネツ</t>
    </rPh>
    <rPh sb="17" eb="19">
      <t>フカ</t>
    </rPh>
    <rPh sb="19" eb="21">
      <t>サクゲン</t>
    </rPh>
    <rPh sb="21" eb="22">
      <t>リョウ</t>
    </rPh>
    <phoneticPr fontId="1"/>
  </si>
  <si>
    <t>表－４　暑さ対策により削減が見込める年間消費電力削減量とCO2排出量の削減量</t>
    <rPh sb="0" eb="1">
      <t>ヒョウ</t>
    </rPh>
    <rPh sb="4" eb="5">
      <t>アツ</t>
    </rPh>
    <rPh sb="6" eb="8">
      <t>タイサク</t>
    </rPh>
    <rPh sb="11" eb="13">
      <t>サクゲン</t>
    </rPh>
    <rPh sb="14" eb="16">
      <t>ミコ</t>
    </rPh>
    <rPh sb="18" eb="20">
      <t>ネンカン</t>
    </rPh>
    <rPh sb="20" eb="22">
      <t>ショウヒ</t>
    </rPh>
    <rPh sb="22" eb="24">
      <t>デンリョク</t>
    </rPh>
    <rPh sb="24" eb="26">
      <t>サクゲン</t>
    </rPh>
    <rPh sb="26" eb="27">
      <t>リョウ</t>
    </rPh>
    <rPh sb="31" eb="33">
      <t>ハイシュツ</t>
    </rPh>
    <rPh sb="33" eb="34">
      <t>リョウ</t>
    </rPh>
    <rPh sb="35" eb="37">
      <t>サクゲン</t>
    </rPh>
    <rPh sb="37" eb="38">
      <t>リョウ</t>
    </rPh>
    <phoneticPr fontId="1"/>
  </si>
  <si>
    <t>方位係数</t>
    <rPh sb="0" eb="2">
      <t>ホウイ</t>
    </rPh>
    <rPh sb="2" eb="4">
      <t>ケイスウ</t>
    </rPh>
    <phoneticPr fontId="1"/>
  </si>
  <si>
    <t>対策部位</t>
    <rPh sb="0" eb="2">
      <t>タイサク</t>
    </rPh>
    <rPh sb="2" eb="4">
      <t>ブイ</t>
    </rPh>
    <phoneticPr fontId="1"/>
  </si>
  <si>
    <t>施工面積(m2)</t>
    <rPh sb="0" eb="2">
      <t>セコウ</t>
    </rPh>
    <rPh sb="2" eb="4">
      <t>メンセキ</t>
    </rPh>
    <phoneticPr fontId="1"/>
  </si>
  <si>
    <t>W/m2℃</t>
    <phoneticPr fontId="1"/>
  </si>
  <si>
    <t>タイプⅢ</t>
    <phoneticPr fontId="1"/>
  </si>
  <si>
    <t>タイプⅢ</t>
    <phoneticPr fontId="1"/>
  </si>
  <si>
    <t>外壁の構造、仕上げによって、ＥＴＤは変わりますが、ここでは、下記のタイプⅢパターンについて記す。</t>
    <rPh sb="0" eb="2">
      <t>ガイヘキ</t>
    </rPh>
    <rPh sb="3" eb="5">
      <t>コウゾウ</t>
    </rPh>
    <rPh sb="6" eb="8">
      <t>シア</t>
    </rPh>
    <rPh sb="18" eb="19">
      <t>カ</t>
    </rPh>
    <rPh sb="30" eb="32">
      <t>カキ</t>
    </rPh>
    <rPh sb="45" eb="46">
      <t>シル</t>
    </rPh>
    <phoneticPr fontId="1"/>
  </si>
  <si>
    <t>対策前の外壁の諸性能は、下記による</t>
    <rPh sb="0" eb="2">
      <t>タイサク</t>
    </rPh>
    <rPh sb="2" eb="3">
      <t>マエ</t>
    </rPh>
    <rPh sb="4" eb="6">
      <t>ガイヘキ</t>
    </rPh>
    <rPh sb="7" eb="8">
      <t>ショ</t>
    </rPh>
    <rPh sb="8" eb="10">
      <t>セイノウ</t>
    </rPh>
    <rPh sb="12" eb="14">
      <t>カキ</t>
    </rPh>
    <phoneticPr fontId="1"/>
  </si>
  <si>
    <t>屋根の熱貫流率</t>
    <rPh sb="0" eb="2">
      <t>ヤネ</t>
    </rPh>
    <rPh sb="3" eb="4">
      <t>ネツ</t>
    </rPh>
    <rPh sb="4" eb="6">
      <t>カンリュウ</t>
    </rPh>
    <rPh sb="6" eb="7">
      <t>リツ</t>
    </rPh>
    <phoneticPr fontId="1"/>
  </si>
  <si>
    <t>外壁の熱貫流率</t>
    <rPh sb="0" eb="2">
      <t>ガイヘキ</t>
    </rPh>
    <rPh sb="3" eb="4">
      <t>ネツ</t>
    </rPh>
    <rPh sb="4" eb="6">
      <t>カンリュウ</t>
    </rPh>
    <rPh sb="6" eb="7">
      <t>リツ</t>
    </rPh>
    <phoneticPr fontId="1"/>
  </si>
  <si>
    <t>屋根対策</t>
    <rPh sb="0" eb="2">
      <t>ヤネ</t>
    </rPh>
    <rPh sb="2" eb="4">
      <t>タイサク</t>
    </rPh>
    <phoneticPr fontId="1"/>
  </si>
  <si>
    <t>外壁対策</t>
    <rPh sb="0" eb="2">
      <t>ガイヘキ</t>
    </rPh>
    <rPh sb="2" eb="4">
      <t>タイサク</t>
    </rPh>
    <phoneticPr fontId="1"/>
  </si>
  <si>
    <t>kWh/年</t>
    <rPh sb="4" eb="5">
      <t>ネン</t>
    </rPh>
    <phoneticPr fontId="1"/>
  </si>
  <si>
    <t>計算結果</t>
    <rPh sb="0" eb="2">
      <t>ケイサン</t>
    </rPh>
    <rPh sb="2" eb="4">
      <t>ケッカ</t>
    </rPh>
    <phoneticPr fontId="1"/>
  </si>
  <si>
    <t>消費電力削減量</t>
    <rPh sb="0" eb="2">
      <t>ショウヒ</t>
    </rPh>
    <rPh sb="2" eb="4">
      <t>デンリョク</t>
    </rPh>
    <rPh sb="4" eb="6">
      <t>サクゲン</t>
    </rPh>
    <rPh sb="6" eb="7">
      <t>リョウ</t>
    </rPh>
    <phoneticPr fontId="1"/>
  </si>
  <si>
    <t>CO2削減量</t>
    <rPh sb="3" eb="5">
      <t>サクゲン</t>
    </rPh>
    <rPh sb="5" eb="6">
      <t>リョウ</t>
    </rPh>
    <phoneticPr fontId="1"/>
  </si>
  <si>
    <t>暑さ対策を行う屋根・外壁・窓ガラスの面積</t>
    <rPh sb="0" eb="1">
      <t>アツ</t>
    </rPh>
    <rPh sb="2" eb="4">
      <t>タイサク</t>
    </rPh>
    <rPh sb="5" eb="6">
      <t>オコナ</t>
    </rPh>
    <rPh sb="7" eb="9">
      <t>ヤネ</t>
    </rPh>
    <rPh sb="10" eb="12">
      <t>ガイヘキ</t>
    </rPh>
    <rPh sb="13" eb="14">
      <t>マド</t>
    </rPh>
    <rPh sb="18" eb="20">
      <t>メンセキ</t>
    </rPh>
    <phoneticPr fontId="1"/>
  </si>
  <si>
    <t>冷房室内温度</t>
    <rPh sb="0" eb="2">
      <t>レイボウ</t>
    </rPh>
    <rPh sb="2" eb="4">
      <t>シツナイ</t>
    </rPh>
    <rPh sb="4" eb="6">
      <t>オンド</t>
    </rPh>
    <phoneticPr fontId="1"/>
  </si>
  <si>
    <t>暖房室内温度</t>
    <rPh sb="0" eb="2">
      <t>ダンボウ</t>
    </rPh>
    <rPh sb="2" eb="4">
      <t>シツナイ</t>
    </rPh>
    <rPh sb="4" eb="6">
      <t>オンド</t>
    </rPh>
    <phoneticPr fontId="1"/>
  </si>
  <si>
    <t>対策前の外皮条件</t>
    <rPh sb="0" eb="2">
      <t>タイサク</t>
    </rPh>
    <rPh sb="2" eb="3">
      <t>マエ</t>
    </rPh>
    <rPh sb="4" eb="6">
      <t>ガイヒ</t>
    </rPh>
    <rPh sb="6" eb="8">
      <t>ジョウケン</t>
    </rPh>
    <phoneticPr fontId="1"/>
  </si>
  <si>
    <t>窓ガラス熱貫流率</t>
    <rPh sb="0" eb="1">
      <t>マド</t>
    </rPh>
    <rPh sb="4" eb="5">
      <t>ネツ</t>
    </rPh>
    <rPh sb="5" eb="7">
      <t>カンリュウ</t>
    </rPh>
    <rPh sb="7" eb="8">
      <t>リツ</t>
    </rPh>
    <phoneticPr fontId="1"/>
  </si>
  <si>
    <t>仕様</t>
    <rPh sb="0" eb="2">
      <t>シヨウ</t>
    </rPh>
    <phoneticPr fontId="1"/>
  </si>
  <si>
    <t>対策前の屋根仕様は、金属板(1.5mm)、</t>
    <rPh sb="0" eb="2">
      <t>タイサク</t>
    </rPh>
    <rPh sb="2" eb="3">
      <t>マエ</t>
    </rPh>
    <rPh sb="4" eb="6">
      <t>ヤネ</t>
    </rPh>
    <rPh sb="6" eb="8">
      <t>シヨウ</t>
    </rPh>
    <rPh sb="10" eb="12">
      <t>キンゾク</t>
    </rPh>
    <rPh sb="12" eb="13">
      <t>イタ</t>
    </rPh>
    <phoneticPr fontId="1"/>
  </si>
  <si>
    <t>屋根</t>
    <rPh sb="0" eb="2">
      <t>ヤネ</t>
    </rPh>
    <phoneticPr fontId="1"/>
  </si>
  <si>
    <t>熱伝導率</t>
    <rPh sb="0" eb="1">
      <t>ネツ</t>
    </rPh>
    <rPh sb="1" eb="4">
      <t>デンドウリツ</t>
    </rPh>
    <phoneticPr fontId="1"/>
  </si>
  <si>
    <t>熱伝達率</t>
    <rPh sb="0" eb="1">
      <t>ネツ</t>
    </rPh>
    <rPh sb="1" eb="3">
      <t>デンタツ</t>
    </rPh>
    <rPh sb="3" eb="4">
      <t>リツ</t>
    </rPh>
    <phoneticPr fontId="1"/>
  </si>
  <si>
    <t>外表面</t>
    <rPh sb="0" eb="1">
      <t>ソト</t>
    </rPh>
    <rPh sb="1" eb="3">
      <t>ヒョウメン</t>
    </rPh>
    <phoneticPr fontId="1"/>
  </si>
  <si>
    <t>厚さ</t>
    <rPh sb="0" eb="1">
      <t>アツ</t>
    </rPh>
    <phoneticPr fontId="1"/>
  </si>
  <si>
    <t>ｍ</t>
    <phoneticPr fontId="1"/>
  </si>
  <si>
    <t>W/m℃</t>
    <phoneticPr fontId="1"/>
  </si>
  <si>
    <t>W/m2℃</t>
    <phoneticPr fontId="1"/>
  </si>
  <si>
    <t>熱抵抗</t>
    <rPh sb="0" eb="1">
      <t>ネツ</t>
    </rPh>
    <rPh sb="1" eb="3">
      <t>テイコウ</t>
    </rPh>
    <phoneticPr fontId="1"/>
  </si>
  <si>
    <t>m2℃/W</t>
    <phoneticPr fontId="1"/>
  </si>
  <si>
    <t>内表面</t>
    <rPh sb="0" eb="1">
      <t>ウチ</t>
    </rPh>
    <rPh sb="1" eb="3">
      <t>ヒョウメン</t>
    </rPh>
    <phoneticPr fontId="1"/>
  </si>
  <si>
    <t>合計</t>
    <rPh sb="0" eb="2">
      <t>ゴウケイ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</si>
  <si>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</si>
  <si>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項目</t>
    <rPh sb="0" eb="2">
      <t>コウモク</t>
    </rPh>
    <phoneticPr fontId="1"/>
  </si>
  <si>
    <t>外壁</t>
    <rPh sb="0" eb="2">
      <t>ガイヘキ</t>
    </rPh>
    <phoneticPr fontId="1"/>
  </si>
  <si>
    <t>タイル</t>
    <phoneticPr fontId="1"/>
  </si>
  <si>
    <t>モルタル</t>
    <phoneticPr fontId="1"/>
  </si>
  <si>
    <t>普通コンクリート</t>
    <rPh sb="0" eb="2">
      <t>フツウ</t>
    </rPh>
    <phoneticPr fontId="1"/>
  </si>
  <si>
    <t>ポリスチレン発泡板</t>
    <rPh sb="6" eb="8">
      <t>ハッポウ</t>
    </rPh>
    <rPh sb="8" eb="9">
      <t>イタ</t>
    </rPh>
    <phoneticPr fontId="1"/>
  </si>
  <si>
    <t>④上記以外（JISで示された熱貫流率）</t>
    <rPh sb="1" eb="3">
      <t>ジョウキ</t>
    </rPh>
    <rPh sb="3" eb="5">
      <t>イガイ</t>
    </rPh>
    <rPh sb="10" eb="11">
      <t>シメ</t>
    </rPh>
    <rPh sb="14" eb="15">
      <t>ネツ</t>
    </rPh>
    <rPh sb="15" eb="17">
      <t>カンリュウ</t>
    </rPh>
    <rPh sb="17" eb="18">
      <t>リツ</t>
    </rPh>
    <phoneticPr fontId="1"/>
  </si>
  <si>
    <t>部位</t>
    <rPh sb="0" eb="2">
      <t>ブイ</t>
    </rPh>
    <phoneticPr fontId="1"/>
  </si>
  <si>
    <t>①断熱</t>
    <rPh sb="1" eb="3">
      <t>ダンネツ</t>
    </rPh>
    <phoneticPr fontId="1"/>
  </si>
  <si>
    <t>②遮熱塗装</t>
    <rPh sb="1" eb="3">
      <t>シャネツ</t>
    </rPh>
    <rPh sb="3" eb="5">
      <t>トソウ</t>
    </rPh>
    <phoneticPr fontId="1"/>
  </si>
  <si>
    <t>対策を行う方位のみ、その数値に変更する。</t>
    <rPh sb="0" eb="2">
      <t>タイサク</t>
    </rPh>
    <rPh sb="3" eb="4">
      <t>オコナ</t>
    </rPh>
    <rPh sb="5" eb="7">
      <t>ホウイ</t>
    </rPh>
    <rPh sb="12" eb="14">
      <t>スウチ</t>
    </rPh>
    <rPh sb="15" eb="17">
      <t>ヘンコウ</t>
    </rPh>
    <phoneticPr fontId="1"/>
  </si>
  <si>
    <t>屋根について、対策を行わない場合は、数値を変更しない。</t>
    <rPh sb="0" eb="2">
      <t>ヤネ</t>
    </rPh>
    <rPh sb="7" eb="9">
      <t>タイサク</t>
    </rPh>
    <rPh sb="10" eb="11">
      <t>オコナ</t>
    </rPh>
    <rPh sb="14" eb="16">
      <t>バアイ</t>
    </rPh>
    <rPh sb="18" eb="20">
      <t>スウチ</t>
    </rPh>
    <rPh sb="21" eb="23">
      <t>ヘンコウ</t>
    </rPh>
    <phoneticPr fontId="1"/>
  </si>
  <si>
    <t>外壁について、対策を行わない方位の数値は変更しないこと。</t>
    <rPh sb="0" eb="2">
      <t>ガイヘキ</t>
    </rPh>
    <rPh sb="7" eb="9">
      <t>タイサク</t>
    </rPh>
    <rPh sb="10" eb="11">
      <t>オコナ</t>
    </rPh>
    <rPh sb="14" eb="16">
      <t>ホウイ</t>
    </rPh>
    <rPh sb="17" eb="19">
      <t>スウチ</t>
    </rPh>
    <rPh sb="20" eb="22">
      <t>ヘンコウ</t>
    </rPh>
    <phoneticPr fontId="1"/>
  </si>
  <si>
    <t>北東、東、南東について対策を行い</t>
    <rPh sb="0" eb="2">
      <t>ホクトウ</t>
    </rPh>
    <rPh sb="3" eb="4">
      <t>ヒガシ</t>
    </rPh>
    <rPh sb="5" eb="7">
      <t>ナントウ</t>
    </rPh>
    <rPh sb="11" eb="13">
      <t>タイサク</t>
    </rPh>
    <rPh sb="14" eb="15">
      <t>オコナ</t>
    </rPh>
    <phoneticPr fontId="1"/>
  </si>
  <si>
    <t>←0.3を入力</t>
    <rPh sb="5" eb="7">
      <t>ニュウリョク</t>
    </rPh>
    <phoneticPr fontId="1"/>
  </si>
  <si>
    <t>←変更なし</t>
    <rPh sb="1" eb="3">
      <t>ヘンコウ</t>
    </rPh>
    <phoneticPr fontId="1"/>
  </si>
  <si>
    <t>熱貫流率が”0.8”に変更する場合</t>
    <rPh sb="0" eb="1">
      <t>ネツ</t>
    </rPh>
    <rPh sb="1" eb="3">
      <t>カンリュウ</t>
    </rPh>
    <rPh sb="3" eb="4">
      <t>リツ</t>
    </rPh>
    <rPh sb="11" eb="13">
      <t>ヘンコウ</t>
    </rPh>
    <rPh sb="15" eb="17">
      <t>バアイ</t>
    </rPh>
    <phoneticPr fontId="1"/>
  </si>
  <si>
    <t>←0.8を入力</t>
    <rPh sb="5" eb="7">
      <t>ニュウリョク</t>
    </rPh>
    <phoneticPr fontId="1"/>
  </si>
  <si>
    <t>窓ガラスについて、対策を行わない方位の数値は変更しないこと。</t>
    <rPh sb="0" eb="1">
      <t>マド</t>
    </rPh>
    <rPh sb="9" eb="11">
      <t>タイサク</t>
    </rPh>
    <rPh sb="12" eb="13">
      <t>オコナ</t>
    </rPh>
    <rPh sb="16" eb="18">
      <t>ホウイ</t>
    </rPh>
    <rPh sb="19" eb="21">
      <t>スウチ</t>
    </rPh>
    <rPh sb="22" eb="24">
      <t>ヘンコウ</t>
    </rPh>
    <phoneticPr fontId="1"/>
  </si>
  <si>
    <t>南、南西、西について対策を行い</t>
    <rPh sb="0" eb="1">
      <t>ミナミ</t>
    </rPh>
    <rPh sb="2" eb="4">
      <t>ナンセイ</t>
    </rPh>
    <rPh sb="5" eb="6">
      <t>ニシ</t>
    </rPh>
    <rPh sb="10" eb="12">
      <t>タイサク</t>
    </rPh>
    <rPh sb="13" eb="14">
      <t>オコナ</t>
    </rPh>
    <phoneticPr fontId="1"/>
  </si>
  <si>
    <t>変更する場合</t>
    <phoneticPr fontId="1"/>
  </si>
  <si>
    <t>暑さ対策入力シート及び計算結果シート</t>
    <rPh sb="0" eb="1">
      <t>アツ</t>
    </rPh>
    <rPh sb="2" eb="4">
      <t>タイサク</t>
    </rPh>
    <rPh sb="4" eb="6">
      <t>ニュウリョク</t>
    </rPh>
    <rPh sb="9" eb="10">
      <t>オヨ</t>
    </rPh>
    <rPh sb="11" eb="13">
      <t>ケイサン</t>
    </rPh>
    <rPh sb="13" eb="15">
      <t>ケッカ</t>
    </rPh>
    <phoneticPr fontId="1"/>
  </si>
  <si>
    <t>←3、0.8を入力</t>
    <rPh sb="7" eb="9">
      <t>ニュウリョク</t>
    </rPh>
    <phoneticPr fontId="1"/>
  </si>
  <si>
    <t>当該建物の年間消費電力</t>
    <rPh sb="0" eb="2">
      <t>トウガイ</t>
    </rPh>
    <rPh sb="2" eb="4">
      <t>タテモノ</t>
    </rPh>
    <rPh sb="5" eb="7">
      <t>ネンカン</t>
    </rPh>
    <rPh sb="7" eb="9">
      <t>ショウヒ</t>
    </rPh>
    <rPh sb="9" eb="11">
      <t>デンリョク</t>
    </rPh>
    <phoneticPr fontId="1"/>
  </si>
  <si>
    <t>年間消費電力</t>
    <rPh sb="0" eb="2">
      <t>ネンカン</t>
    </rPh>
    <rPh sb="2" eb="4">
      <t>ショウヒ</t>
    </rPh>
    <rPh sb="4" eb="6">
      <t>デンリョク</t>
    </rPh>
    <phoneticPr fontId="1"/>
  </si>
  <si>
    <t>１年間の電気メーターの積算値（電力会社の伝票の１年分のkWhの値）</t>
    <rPh sb="1" eb="3">
      <t>ネンカン</t>
    </rPh>
    <rPh sb="4" eb="6">
      <t>デンキ</t>
    </rPh>
    <rPh sb="11" eb="13">
      <t>セキサン</t>
    </rPh>
    <rPh sb="13" eb="14">
      <t>アタイ</t>
    </rPh>
    <rPh sb="15" eb="17">
      <t>デンリョク</t>
    </rPh>
    <rPh sb="17" eb="19">
      <t>カイシャ</t>
    </rPh>
    <rPh sb="20" eb="22">
      <t>デンピョウ</t>
    </rPh>
    <rPh sb="24" eb="26">
      <t>ネンブン</t>
    </rPh>
    <rPh sb="31" eb="32">
      <t>アタイ</t>
    </rPh>
    <phoneticPr fontId="1"/>
  </si>
  <si>
    <t>省エネ率</t>
    <rPh sb="0" eb="1">
      <t>ショウ</t>
    </rPh>
    <rPh sb="3" eb="4">
      <t>リツ</t>
    </rPh>
    <phoneticPr fontId="1"/>
  </si>
  <si>
    <t>%</t>
    <phoneticPr fontId="1"/>
  </si>
  <si>
    <t>暑さ対策による省エネルギー提案の要点を下記致します。</t>
    <rPh sb="0" eb="1">
      <t>アツ</t>
    </rPh>
    <rPh sb="2" eb="4">
      <t>タイサク</t>
    </rPh>
    <rPh sb="7" eb="8">
      <t>ショウ</t>
    </rPh>
    <rPh sb="13" eb="15">
      <t>テイアン</t>
    </rPh>
    <rPh sb="16" eb="18">
      <t>ヨウテン</t>
    </rPh>
    <rPh sb="19" eb="21">
      <t>カキ</t>
    </rPh>
    <rPh sb="21" eb="22">
      <t>イタ</t>
    </rPh>
    <phoneticPr fontId="1"/>
  </si>
  <si>
    <t>遮熱と断熱</t>
    <rPh sb="0" eb="2">
      <t>シャネツ</t>
    </rPh>
    <rPh sb="3" eb="5">
      <t>ダンネツ</t>
    </rPh>
    <phoneticPr fontId="1"/>
  </si>
  <si>
    <t>太陽日射の影響を遮り、太陽に日射熱の吸収率を下げることによって、屋根、外壁、窓ガラスが受けつ日射熱を軽減し、冷房負荷を抑え、省エネルギーを図る</t>
    <rPh sb="0" eb="2">
      <t>タイヨウ</t>
    </rPh>
    <rPh sb="2" eb="4">
      <t>ニッシャ</t>
    </rPh>
    <rPh sb="5" eb="7">
      <t>エイキョウ</t>
    </rPh>
    <rPh sb="8" eb="9">
      <t>サエギ</t>
    </rPh>
    <rPh sb="11" eb="13">
      <t>タイヨウ</t>
    </rPh>
    <rPh sb="14" eb="16">
      <t>ニッシャ</t>
    </rPh>
    <rPh sb="16" eb="17">
      <t>ネツ</t>
    </rPh>
    <rPh sb="18" eb="20">
      <t>キュウシュウ</t>
    </rPh>
    <rPh sb="20" eb="21">
      <t>リツ</t>
    </rPh>
    <rPh sb="22" eb="23">
      <t>サ</t>
    </rPh>
    <rPh sb="32" eb="34">
      <t>ヤネ</t>
    </rPh>
    <rPh sb="35" eb="37">
      <t>ガイヘキ</t>
    </rPh>
    <rPh sb="38" eb="39">
      <t>マド</t>
    </rPh>
    <rPh sb="43" eb="44">
      <t>ウ</t>
    </rPh>
    <rPh sb="46" eb="48">
      <t>ニッシャ</t>
    </rPh>
    <rPh sb="48" eb="49">
      <t>ネツ</t>
    </rPh>
    <rPh sb="50" eb="52">
      <t>ケイゲン</t>
    </rPh>
    <rPh sb="54" eb="56">
      <t>レイボウ</t>
    </rPh>
    <rPh sb="56" eb="58">
      <t>フカ</t>
    </rPh>
    <rPh sb="59" eb="60">
      <t>オサ</t>
    </rPh>
    <rPh sb="62" eb="63">
      <t>ショウ</t>
    </rPh>
    <rPh sb="69" eb="70">
      <t>ハカ</t>
    </rPh>
    <phoneticPr fontId="1"/>
  </si>
  <si>
    <t>遮熱対策は、夏季の冷房負荷の低減にのみ有効であり、条件によっては、冬季の暖房負荷を増やす懸念が生じる。つまり、冬季は積極的に太陽日射熱を活用し、日中の暖房負荷を低減させる効果がある。そのことを十分に認識する必要がある。尚、暖房負荷計算における日射熱の影響は安全側でとらえるので、「動的熱負荷計算」ではない、通常の定常計算においては、方位係数などにより、日射熱の影響を加味して、暖房負荷計算に加味する場合もある。</t>
    <rPh sb="0" eb="2">
      <t>シャネツ</t>
    </rPh>
    <rPh sb="2" eb="4">
      <t>タイサク</t>
    </rPh>
    <rPh sb="6" eb="8">
      <t>カキ</t>
    </rPh>
    <rPh sb="9" eb="11">
      <t>レイボウ</t>
    </rPh>
    <rPh sb="11" eb="13">
      <t>フカ</t>
    </rPh>
    <rPh sb="14" eb="16">
      <t>テイゲン</t>
    </rPh>
    <rPh sb="19" eb="21">
      <t>ユウコウ</t>
    </rPh>
    <rPh sb="25" eb="27">
      <t>ジョウケン</t>
    </rPh>
    <rPh sb="33" eb="35">
      <t>トウキ</t>
    </rPh>
    <rPh sb="36" eb="38">
      <t>ダンボウ</t>
    </rPh>
    <rPh sb="38" eb="40">
      <t>フカ</t>
    </rPh>
    <rPh sb="41" eb="42">
      <t>フ</t>
    </rPh>
    <rPh sb="44" eb="46">
      <t>ケネン</t>
    </rPh>
    <rPh sb="47" eb="48">
      <t>ショウ</t>
    </rPh>
    <rPh sb="55" eb="57">
      <t>トウキ</t>
    </rPh>
    <rPh sb="58" eb="61">
      <t>セッキョクテキ</t>
    </rPh>
    <rPh sb="62" eb="64">
      <t>タイヨウ</t>
    </rPh>
    <rPh sb="64" eb="66">
      <t>ニッシャ</t>
    </rPh>
    <rPh sb="66" eb="67">
      <t>ネツ</t>
    </rPh>
    <rPh sb="68" eb="70">
      <t>カツヨウ</t>
    </rPh>
    <rPh sb="72" eb="74">
      <t>ニッチュウ</t>
    </rPh>
    <rPh sb="75" eb="77">
      <t>ダンボウ</t>
    </rPh>
    <rPh sb="77" eb="79">
      <t>フカ</t>
    </rPh>
    <rPh sb="80" eb="82">
      <t>テイゲン</t>
    </rPh>
    <rPh sb="85" eb="87">
      <t>コウカ</t>
    </rPh>
    <rPh sb="96" eb="98">
      <t>ジュウブン</t>
    </rPh>
    <rPh sb="99" eb="101">
      <t>ニンシキ</t>
    </rPh>
    <rPh sb="103" eb="105">
      <t>ヒツヨウ</t>
    </rPh>
    <rPh sb="109" eb="110">
      <t>ナオ</t>
    </rPh>
    <rPh sb="111" eb="113">
      <t>ダンボウ</t>
    </rPh>
    <rPh sb="113" eb="115">
      <t>フカ</t>
    </rPh>
    <rPh sb="115" eb="117">
      <t>ケイサン</t>
    </rPh>
    <rPh sb="121" eb="123">
      <t>ニッシャ</t>
    </rPh>
    <rPh sb="123" eb="124">
      <t>ネツ</t>
    </rPh>
    <rPh sb="125" eb="127">
      <t>エイキョウ</t>
    </rPh>
    <rPh sb="128" eb="130">
      <t>アンゼン</t>
    </rPh>
    <rPh sb="130" eb="131">
      <t>ガワ</t>
    </rPh>
    <rPh sb="140" eb="142">
      <t>ドウテキ</t>
    </rPh>
    <rPh sb="142" eb="143">
      <t>ネツ</t>
    </rPh>
    <rPh sb="143" eb="145">
      <t>フカ</t>
    </rPh>
    <rPh sb="145" eb="147">
      <t>ケイサン</t>
    </rPh>
    <rPh sb="153" eb="155">
      <t>ツウジョウ</t>
    </rPh>
    <rPh sb="156" eb="158">
      <t>テイジョウ</t>
    </rPh>
    <rPh sb="158" eb="160">
      <t>ケイサン</t>
    </rPh>
    <rPh sb="166" eb="168">
      <t>ホウイ</t>
    </rPh>
    <rPh sb="168" eb="170">
      <t>ケイスウ</t>
    </rPh>
    <rPh sb="176" eb="178">
      <t>ニッシャ</t>
    </rPh>
    <rPh sb="178" eb="179">
      <t>ネツ</t>
    </rPh>
    <rPh sb="180" eb="182">
      <t>エイキョウ</t>
    </rPh>
    <rPh sb="183" eb="185">
      <t>カミ</t>
    </rPh>
    <rPh sb="188" eb="190">
      <t>ダンボウ</t>
    </rPh>
    <rPh sb="190" eb="192">
      <t>フカ</t>
    </rPh>
    <rPh sb="192" eb="194">
      <t>ケイサン</t>
    </rPh>
    <rPh sb="195" eb="197">
      <t>カミ</t>
    </rPh>
    <rPh sb="199" eb="201">
      <t>バアイ</t>
    </rPh>
    <phoneticPr fontId="1"/>
  </si>
  <si>
    <t>屋根、外壁、窓ガラスに断熱性を持たせ、所謂、熱貫流率（K）の性能向上を図り、夏季は外部から侵入する熱を断ち、冬季は外部へ逃げる熱を断つ。断熱は、冷房、暖房の両面で効果がある。昨今は、国土交通省他、ハウスメーカーも、高気密・高断熱を省エネ建築の有効手段としているのは、その理由である。</t>
    <rPh sb="0" eb="2">
      <t>ヤネ</t>
    </rPh>
    <rPh sb="3" eb="5">
      <t>ガイヘキ</t>
    </rPh>
    <rPh sb="6" eb="7">
      <t>マド</t>
    </rPh>
    <rPh sb="11" eb="14">
      <t>ダンネツセイ</t>
    </rPh>
    <rPh sb="15" eb="16">
      <t>モ</t>
    </rPh>
    <rPh sb="19" eb="21">
      <t>イワユル</t>
    </rPh>
    <rPh sb="22" eb="23">
      <t>ネツ</t>
    </rPh>
    <rPh sb="23" eb="25">
      <t>カンリュウ</t>
    </rPh>
    <rPh sb="25" eb="26">
      <t>リツ</t>
    </rPh>
    <rPh sb="30" eb="32">
      <t>セイノウ</t>
    </rPh>
    <rPh sb="32" eb="34">
      <t>コウジョウ</t>
    </rPh>
    <rPh sb="35" eb="36">
      <t>ハカ</t>
    </rPh>
    <rPh sb="38" eb="40">
      <t>カキ</t>
    </rPh>
    <rPh sb="41" eb="43">
      <t>ガイブ</t>
    </rPh>
    <rPh sb="45" eb="47">
      <t>シンニュウ</t>
    </rPh>
    <rPh sb="49" eb="50">
      <t>ネツ</t>
    </rPh>
    <rPh sb="51" eb="52">
      <t>タ</t>
    </rPh>
    <rPh sb="54" eb="56">
      <t>トウキ</t>
    </rPh>
    <rPh sb="57" eb="59">
      <t>ガイブ</t>
    </rPh>
    <rPh sb="60" eb="61">
      <t>ニ</t>
    </rPh>
    <rPh sb="63" eb="64">
      <t>ネツ</t>
    </rPh>
    <rPh sb="65" eb="66">
      <t>タ</t>
    </rPh>
    <rPh sb="68" eb="70">
      <t>ダンネツ</t>
    </rPh>
    <rPh sb="72" eb="74">
      <t>レイボウ</t>
    </rPh>
    <rPh sb="75" eb="77">
      <t>ダンボウ</t>
    </rPh>
    <rPh sb="78" eb="80">
      <t>リョウメン</t>
    </rPh>
    <rPh sb="81" eb="83">
      <t>コウカ</t>
    </rPh>
    <rPh sb="87" eb="89">
      <t>サッコン</t>
    </rPh>
    <rPh sb="91" eb="93">
      <t>コクド</t>
    </rPh>
    <rPh sb="93" eb="96">
      <t>コウツウショウ</t>
    </rPh>
    <rPh sb="96" eb="97">
      <t>ホカ</t>
    </rPh>
    <rPh sb="107" eb="110">
      <t>コウキミツ</t>
    </rPh>
    <rPh sb="111" eb="114">
      <t>コウダンネツ</t>
    </rPh>
    <rPh sb="115" eb="116">
      <t>ショウ</t>
    </rPh>
    <rPh sb="118" eb="120">
      <t>ケンチク</t>
    </rPh>
    <rPh sb="121" eb="123">
      <t>ユウコウ</t>
    </rPh>
    <rPh sb="123" eb="125">
      <t>シュダン</t>
    </rPh>
    <rPh sb="135" eb="137">
      <t>リユウ</t>
    </rPh>
    <phoneticPr fontId="1"/>
  </si>
  <si>
    <t>断熱の性能評価のポイントは、屋根・壁・窓ガラスの熱貫流率が支配する。</t>
    <rPh sb="0" eb="2">
      <t>ダンネツ</t>
    </rPh>
    <rPh sb="3" eb="5">
      <t>セイノウ</t>
    </rPh>
    <rPh sb="5" eb="7">
      <t>ヒョウカ</t>
    </rPh>
    <rPh sb="14" eb="16">
      <t>ヤネ</t>
    </rPh>
    <rPh sb="17" eb="18">
      <t>カベ</t>
    </rPh>
    <rPh sb="19" eb="20">
      <t>マド</t>
    </rPh>
    <rPh sb="24" eb="25">
      <t>ネツ</t>
    </rPh>
    <rPh sb="25" eb="27">
      <t>カンリュウ</t>
    </rPh>
    <rPh sb="27" eb="28">
      <t>リツ</t>
    </rPh>
    <rPh sb="29" eb="31">
      <t>シハイ</t>
    </rPh>
    <phoneticPr fontId="1"/>
  </si>
  <si>
    <t>空気調和設備における熱負荷について</t>
    <rPh sb="0" eb="2">
      <t>クウキ</t>
    </rPh>
    <rPh sb="2" eb="4">
      <t>チョウワ</t>
    </rPh>
    <rPh sb="4" eb="6">
      <t>セツビ</t>
    </rPh>
    <rPh sb="10" eb="11">
      <t>ネツ</t>
    </rPh>
    <rPh sb="11" eb="13">
      <t>フカ</t>
    </rPh>
    <phoneticPr fontId="1"/>
  </si>
  <si>
    <t>窓ガラスからの熱貫流負荷</t>
    <rPh sb="0" eb="1">
      <t>マド</t>
    </rPh>
    <rPh sb="7" eb="8">
      <t>ネツ</t>
    </rPh>
    <rPh sb="8" eb="10">
      <t>カンリュウ</t>
    </rPh>
    <rPh sb="10" eb="12">
      <t>フカ</t>
    </rPh>
    <phoneticPr fontId="1"/>
  </si>
  <si>
    <t>窓ガラスからの日射熱負荷</t>
    <rPh sb="0" eb="1">
      <t>マド</t>
    </rPh>
    <rPh sb="7" eb="9">
      <t>ニッシャ</t>
    </rPh>
    <rPh sb="9" eb="10">
      <t>ネツ</t>
    </rPh>
    <rPh sb="10" eb="12">
      <t>フカ</t>
    </rPh>
    <phoneticPr fontId="1"/>
  </si>
  <si>
    <t>屋根・外壁からの熱貫流負荷</t>
    <rPh sb="0" eb="2">
      <t>ヤネ</t>
    </rPh>
    <rPh sb="3" eb="5">
      <t>ガイヘキ</t>
    </rPh>
    <rPh sb="8" eb="9">
      <t>ネツ</t>
    </rPh>
    <rPh sb="9" eb="11">
      <t>カンリュウ</t>
    </rPh>
    <rPh sb="11" eb="13">
      <t>フカ</t>
    </rPh>
    <phoneticPr fontId="1"/>
  </si>
  <si>
    <t>天井・床・内壁からの熱負荷</t>
    <rPh sb="0" eb="2">
      <t>テンジョウ</t>
    </rPh>
    <rPh sb="3" eb="4">
      <t>ユカ</t>
    </rPh>
    <rPh sb="5" eb="7">
      <t>ナイヘキ</t>
    </rPh>
    <rPh sb="10" eb="11">
      <t>ネツ</t>
    </rPh>
    <rPh sb="11" eb="13">
      <t>フカ</t>
    </rPh>
    <phoneticPr fontId="1"/>
  </si>
  <si>
    <t>地中壁からの熱負荷</t>
    <rPh sb="0" eb="2">
      <t>チチュウ</t>
    </rPh>
    <rPh sb="2" eb="3">
      <t>カベ</t>
    </rPh>
    <rPh sb="6" eb="7">
      <t>ネツ</t>
    </rPh>
    <rPh sb="7" eb="9">
      <t>フカ</t>
    </rPh>
    <phoneticPr fontId="1"/>
  </si>
  <si>
    <t>すきま風による熱負荷</t>
    <rPh sb="3" eb="4">
      <t>カゼ</t>
    </rPh>
    <rPh sb="7" eb="8">
      <t>ネツ</t>
    </rPh>
    <rPh sb="8" eb="10">
      <t>フカ</t>
    </rPh>
    <phoneticPr fontId="1"/>
  </si>
  <si>
    <t>人体の発熱による熱負荷</t>
    <rPh sb="0" eb="2">
      <t>ジンタイ</t>
    </rPh>
    <rPh sb="3" eb="5">
      <t>ハツネツ</t>
    </rPh>
    <rPh sb="8" eb="9">
      <t>ネツ</t>
    </rPh>
    <rPh sb="9" eb="11">
      <t>フカ</t>
    </rPh>
    <phoneticPr fontId="1"/>
  </si>
  <si>
    <t>照明の発熱による熱負荷</t>
    <rPh sb="0" eb="2">
      <t>ショウメイ</t>
    </rPh>
    <rPh sb="3" eb="5">
      <t>ハツネツ</t>
    </rPh>
    <rPh sb="8" eb="9">
      <t>ネツ</t>
    </rPh>
    <rPh sb="9" eb="11">
      <t>フカ</t>
    </rPh>
    <phoneticPr fontId="1"/>
  </si>
  <si>
    <t>機器の発熱による熱負荷</t>
    <rPh sb="0" eb="2">
      <t>キキ</t>
    </rPh>
    <rPh sb="3" eb="5">
      <t>ハツネツ</t>
    </rPh>
    <rPh sb="8" eb="9">
      <t>ネツ</t>
    </rPh>
    <rPh sb="9" eb="11">
      <t>フカ</t>
    </rPh>
    <phoneticPr fontId="1"/>
  </si>
  <si>
    <t>壁体からの透湿量</t>
    <rPh sb="0" eb="2">
      <t>ヘキタイ</t>
    </rPh>
    <rPh sb="5" eb="7">
      <t>トウシツ</t>
    </rPh>
    <rPh sb="7" eb="8">
      <t>リョウ</t>
    </rPh>
    <phoneticPr fontId="1"/>
  </si>
  <si>
    <t>間欠空調による蓄熱負荷</t>
    <rPh sb="0" eb="2">
      <t>カンケツ</t>
    </rPh>
    <rPh sb="2" eb="4">
      <t>クウチョウ</t>
    </rPh>
    <rPh sb="7" eb="9">
      <t>チクネツ</t>
    </rPh>
    <rPh sb="9" eb="11">
      <t>フカ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</si>
  <si>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</si>
  <si>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</si>
  <si>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○</t>
    <phoneticPr fontId="1"/>
  </si>
  <si>
    <t>●</t>
    <phoneticPr fontId="1"/>
  </si>
  <si>
    <t>▲</t>
    <phoneticPr fontId="1"/>
  </si>
  <si>
    <t>暑さ対策の対象外</t>
    <rPh sb="0" eb="1">
      <t>アツ</t>
    </rPh>
    <rPh sb="2" eb="4">
      <t>タイサク</t>
    </rPh>
    <rPh sb="5" eb="8">
      <t>タイショウガイ</t>
    </rPh>
    <phoneticPr fontId="1"/>
  </si>
  <si>
    <t>暑さ対策の対象</t>
    <rPh sb="0" eb="1">
      <t>アツ</t>
    </rPh>
    <rPh sb="2" eb="4">
      <t>タイサク</t>
    </rPh>
    <rPh sb="5" eb="7">
      <t>タイショウ</t>
    </rPh>
    <phoneticPr fontId="1"/>
  </si>
  <si>
    <t>一般的には、空気調和設備の冷房負荷、暖房負荷の計算は下記による。</t>
    <rPh sb="0" eb="3">
      <t>イッパンテキ</t>
    </rPh>
    <rPh sb="6" eb="8">
      <t>クウキ</t>
    </rPh>
    <rPh sb="8" eb="10">
      <t>チョウワ</t>
    </rPh>
    <rPh sb="10" eb="12">
      <t>セツビ</t>
    </rPh>
    <rPh sb="13" eb="15">
      <t>レイボウ</t>
    </rPh>
    <rPh sb="15" eb="17">
      <t>フカ</t>
    </rPh>
    <rPh sb="18" eb="20">
      <t>ダンボウ</t>
    </rPh>
    <rPh sb="20" eb="22">
      <t>フカ</t>
    </rPh>
    <rPh sb="23" eb="25">
      <t>ケイサン</t>
    </rPh>
    <rPh sb="26" eb="28">
      <t>カキ</t>
    </rPh>
    <phoneticPr fontId="1"/>
  </si>
  <si>
    <t>日中</t>
    <rPh sb="0" eb="2">
      <t>ニッチュウ</t>
    </rPh>
    <phoneticPr fontId="1"/>
  </si>
  <si>
    <t>夜間</t>
    <rPh sb="0" eb="2">
      <t>ヤカン</t>
    </rPh>
    <phoneticPr fontId="1"/>
  </si>
  <si>
    <t>上記の３種類の式があるが、暑さ対策で共通の変数となるのは、Kgである。</t>
    <rPh sb="0" eb="2">
      <t>ジョウキ</t>
    </rPh>
    <rPh sb="4" eb="6">
      <t>シュルイ</t>
    </rPh>
    <rPh sb="7" eb="8">
      <t>シキ</t>
    </rPh>
    <rPh sb="18" eb="20">
      <t>キョウツウ</t>
    </rPh>
    <phoneticPr fontId="1"/>
  </si>
  <si>
    <t>Ｑｇ：</t>
    <phoneticPr fontId="1"/>
  </si>
  <si>
    <t>窓ガラスの貫流熱負荷（Ｗ）</t>
    <rPh sb="0" eb="1">
      <t>マド</t>
    </rPh>
    <rPh sb="5" eb="7">
      <t>カンリュウ</t>
    </rPh>
    <rPh sb="7" eb="8">
      <t>ネツ</t>
    </rPh>
    <rPh sb="8" eb="10">
      <t>フカ</t>
    </rPh>
    <phoneticPr fontId="1"/>
  </si>
  <si>
    <t>Ｋｇ：</t>
    <phoneticPr fontId="1"/>
  </si>
  <si>
    <t>ガラスの熱貫流率（Ｗ/m2℃）</t>
    <rPh sb="4" eb="5">
      <t>ネツ</t>
    </rPh>
    <rPh sb="5" eb="7">
      <t>カンリュウ</t>
    </rPh>
    <rPh sb="7" eb="8">
      <t>リツ</t>
    </rPh>
    <phoneticPr fontId="1"/>
  </si>
  <si>
    <t>Ag：</t>
    <phoneticPr fontId="1"/>
  </si>
  <si>
    <t>窓ガラスの面積(m2)</t>
    <rPh sb="0" eb="1">
      <t>マド</t>
    </rPh>
    <rPh sb="5" eb="7">
      <t>メンセキ</t>
    </rPh>
    <phoneticPr fontId="1"/>
  </si>
  <si>
    <t>To：</t>
    <phoneticPr fontId="1"/>
  </si>
  <si>
    <t>設計外気温度（℃）</t>
    <rPh sb="0" eb="2">
      <t>セッケイ</t>
    </rPh>
    <rPh sb="2" eb="4">
      <t>ガイキ</t>
    </rPh>
    <rPh sb="4" eb="6">
      <t>オンド</t>
    </rPh>
    <phoneticPr fontId="1"/>
  </si>
  <si>
    <t>Tr：</t>
    <phoneticPr fontId="1"/>
  </si>
  <si>
    <t>設計室内温度（℃）</t>
    <rPh sb="0" eb="2">
      <t>セッケイ</t>
    </rPh>
    <rPh sb="2" eb="4">
      <t>シツナイ</t>
    </rPh>
    <rPh sb="4" eb="6">
      <t>オンド</t>
    </rPh>
    <phoneticPr fontId="1"/>
  </si>
  <si>
    <t>ΔTｎ：</t>
    <phoneticPr fontId="1"/>
  </si>
  <si>
    <t>大気の放射冷却による温度（℃）</t>
    <rPh sb="0" eb="2">
      <t>タイキ</t>
    </rPh>
    <rPh sb="3" eb="5">
      <t>ホウシャ</t>
    </rPh>
    <rPh sb="5" eb="7">
      <t>レイキャク</t>
    </rPh>
    <rPh sb="10" eb="12">
      <t>オンド</t>
    </rPh>
    <phoneticPr fontId="1"/>
  </si>
  <si>
    <t>ｋ１：</t>
    <phoneticPr fontId="1"/>
  </si>
  <si>
    <t>ｋ２：</t>
    <phoneticPr fontId="1"/>
  </si>
  <si>
    <t>天井高による割増係数</t>
    <rPh sb="0" eb="2">
      <t>テンジョウ</t>
    </rPh>
    <rPh sb="2" eb="3">
      <t>タカ</t>
    </rPh>
    <rPh sb="6" eb="8">
      <t>ワリマシ</t>
    </rPh>
    <rPh sb="8" eb="10">
      <t>ケイスウ</t>
    </rPh>
    <phoneticPr fontId="1"/>
  </si>
  <si>
    <t>Kg以外の項目は、”暑さ対策”に起因するファクターではないことは理解される。</t>
    <rPh sb="2" eb="4">
      <t>イガイ</t>
    </rPh>
    <rPh sb="5" eb="7">
      <t>コウモク</t>
    </rPh>
    <rPh sb="10" eb="11">
      <t>アツ</t>
    </rPh>
    <rPh sb="12" eb="14">
      <t>タイサク</t>
    </rPh>
    <rPh sb="16" eb="18">
      <t>キイン</t>
    </rPh>
    <rPh sb="32" eb="34">
      <t>リカイ</t>
    </rPh>
    <phoneticPr fontId="1"/>
  </si>
  <si>
    <t>普通窓ガラス、ガラス厚さ6mmの熱貫流率は、6.29W/m2℃であるが、この窓を</t>
    <rPh sb="0" eb="2">
      <t>フツウ</t>
    </rPh>
    <rPh sb="2" eb="3">
      <t>マド</t>
    </rPh>
    <rPh sb="10" eb="11">
      <t>アツ</t>
    </rPh>
    <rPh sb="16" eb="17">
      <t>ネツ</t>
    </rPh>
    <rPh sb="17" eb="19">
      <t>カンリュウ</t>
    </rPh>
    <rPh sb="19" eb="20">
      <t>リツ</t>
    </rPh>
    <rPh sb="38" eb="39">
      <t>マド</t>
    </rPh>
    <phoneticPr fontId="1"/>
  </si>
  <si>
    <t>複層ガラス化し、熱線吸収ガラス6mmと透明ガラス6mmに改修した場合、熱貫</t>
    <rPh sb="0" eb="2">
      <t>フクソウ</t>
    </rPh>
    <rPh sb="5" eb="6">
      <t>カ</t>
    </rPh>
    <rPh sb="8" eb="9">
      <t>ネツ</t>
    </rPh>
    <rPh sb="9" eb="10">
      <t>セン</t>
    </rPh>
    <rPh sb="10" eb="12">
      <t>キュウシュウ</t>
    </rPh>
    <rPh sb="19" eb="21">
      <t>トウメイ</t>
    </rPh>
    <rPh sb="28" eb="30">
      <t>カイシュウ</t>
    </rPh>
    <rPh sb="32" eb="34">
      <t>バアイ</t>
    </rPh>
    <rPh sb="35" eb="36">
      <t>ネツ</t>
    </rPh>
    <rPh sb="36" eb="37">
      <t>ヌキ</t>
    </rPh>
    <phoneticPr fontId="1"/>
  </si>
  <si>
    <t>流率は、3.4W/m2℃となり、断熱性能が向上する。</t>
    <rPh sb="0" eb="1">
      <t>ナガレ</t>
    </rPh>
    <rPh sb="1" eb="2">
      <t>リツ</t>
    </rPh>
    <rPh sb="16" eb="18">
      <t>ダンネツ</t>
    </rPh>
    <rPh sb="18" eb="20">
      <t>セイノウ</t>
    </rPh>
    <rPh sb="21" eb="23">
      <t>コウジョウ</t>
    </rPh>
    <phoneticPr fontId="1"/>
  </si>
  <si>
    <t>①遮熱</t>
    <rPh sb="1" eb="3">
      <t>シャネツ</t>
    </rPh>
    <phoneticPr fontId="1"/>
  </si>
  <si>
    <t>②断熱</t>
    <rPh sb="1" eb="3">
      <t>ダンネツ</t>
    </rPh>
    <phoneticPr fontId="1"/>
  </si>
  <si>
    <t>①窓ガラスからの熱貫流負荷</t>
    <phoneticPr fontId="1"/>
  </si>
  <si>
    <t>②窓ガラスからの日射熱負荷</t>
    <rPh sb="1" eb="2">
      <t>マド</t>
    </rPh>
    <rPh sb="8" eb="10">
      <t>ニッシャ</t>
    </rPh>
    <rPh sb="10" eb="11">
      <t>ネツ</t>
    </rPh>
    <rPh sb="11" eb="13">
      <t>フカ</t>
    </rPh>
    <phoneticPr fontId="1"/>
  </si>
  <si>
    <t>※各数値の根拠は、空気調和衛生工学便覧の最新版の数値を採用すべきである</t>
    <rPh sb="1" eb="2">
      <t>カク</t>
    </rPh>
    <rPh sb="2" eb="4">
      <t>スウチ</t>
    </rPh>
    <rPh sb="5" eb="7">
      <t>コンキョ</t>
    </rPh>
    <rPh sb="9" eb="11">
      <t>クウキ</t>
    </rPh>
    <rPh sb="11" eb="13">
      <t>チョウワ</t>
    </rPh>
    <rPh sb="13" eb="15">
      <t>エイセイ</t>
    </rPh>
    <rPh sb="15" eb="17">
      <t>コウガク</t>
    </rPh>
    <rPh sb="17" eb="19">
      <t>ビンラン</t>
    </rPh>
    <rPh sb="20" eb="23">
      <t>サイシンバン</t>
    </rPh>
    <rPh sb="24" eb="26">
      <t>スウチ</t>
    </rPh>
    <rPh sb="27" eb="29">
      <t>サイヨウ</t>
    </rPh>
    <phoneticPr fontId="1"/>
  </si>
  <si>
    <t>窓ガラスからの日射熱の負荷計算は、通常の最大負荷計算の場合は、「冷房のみ」考慮する。暖房の場合は、安全側の考えから手計算では参入しないことが一般的である。尚、「動的熱負荷計算」による場合は、別途であるが、省エネ診断ベースでは、「動的熱負荷計算」を用いる必要性は無い。</t>
    <rPh sb="0" eb="1">
      <t>マド</t>
    </rPh>
    <rPh sb="7" eb="9">
      <t>ニッシャ</t>
    </rPh>
    <rPh sb="9" eb="10">
      <t>ネツ</t>
    </rPh>
    <rPh sb="11" eb="13">
      <t>フカ</t>
    </rPh>
    <rPh sb="13" eb="15">
      <t>ケイサン</t>
    </rPh>
    <rPh sb="17" eb="19">
      <t>ツウジョウ</t>
    </rPh>
    <rPh sb="20" eb="22">
      <t>サイダイ</t>
    </rPh>
    <rPh sb="22" eb="24">
      <t>フカ</t>
    </rPh>
    <rPh sb="24" eb="26">
      <t>ケイサン</t>
    </rPh>
    <rPh sb="27" eb="29">
      <t>バアイ</t>
    </rPh>
    <rPh sb="32" eb="34">
      <t>レイボウ</t>
    </rPh>
    <rPh sb="37" eb="39">
      <t>コウリョ</t>
    </rPh>
    <phoneticPr fontId="1"/>
  </si>
  <si>
    <t>外部に日除けの無い場合</t>
    <rPh sb="0" eb="2">
      <t>ガイブ</t>
    </rPh>
    <rPh sb="3" eb="5">
      <t>ヒヨ</t>
    </rPh>
    <rPh sb="7" eb="8">
      <t>ナ</t>
    </rPh>
    <rPh sb="9" eb="11">
      <t>バアイ</t>
    </rPh>
    <phoneticPr fontId="1"/>
  </si>
  <si>
    <t>Qgs＝SC×Ag＋Ig</t>
    <phoneticPr fontId="1"/>
  </si>
  <si>
    <t>外部に日除けの有る場合</t>
    <rPh sb="0" eb="2">
      <t>ガイブ</t>
    </rPh>
    <rPh sb="3" eb="5">
      <t>ヒヨ</t>
    </rPh>
    <rPh sb="7" eb="8">
      <t>ア</t>
    </rPh>
    <rPh sb="9" eb="11">
      <t>バアイ</t>
    </rPh>
    <phoneticPr fontId="1"/>
  </si>
  <si>
    <t>Qgs＝SC×Ag×（φｇｄ×Iｇｄ×Igs)</t>
    <phoneticPr fontId="1"/>
  </si>
  <si>
    <t>Qgs：</t>
    <phoneticPr fontId="1"/>
  </si>
  <si>
    <t>SC：</t>
    <phoneticPr fontId="1"/>
  </si>
  <si>
    <t>ガラスの遮蔽係数</t>
    <rPh sb="4" eb="6">
      <t>シャヘイ</t>
    </rPh>
    <rPh sb="6" eb="8">
      <t>ケイスウ</t>
    </rPh>
    <phoneticPr fontId="1"/>
  </si>
  <si>
    <t>遮熱の性能評価のポイントは、太陽日射吸収率あるいは遮蔽係数が支配する。</t>
    <rPh sb="0" eb="2">
      <t>シャネツ</t>
    </rPh>
    <rPh sb="3" eb="5">
      <t>セイノウ</t>
    </rPh>
    <rPh sb="5" eb="7">
      <t>ヒョウカ</t>
    </rPh>
    <rPh sb="14" eb="16">
      <t>タイヨウ</t>
    </rPh>
    <rPh sb="16" eb="18">
      <t>ニッシャ</t>
    </rPh>
    <rPh sb="18" eb="20">
      <t>キュウシュウ</t>
    </rPh>
    <rPh sb="20" eb="21">
      <t>リツ</t>
    </rPh>
    <rPh sb="25" eb="27">
      <t>シャヘイ</t>
    </rPh>
    <rPh sb="27" eb="29">
      <t>ケイスウ</t>
    </rPh>
    <rPh sb="30" eb="32">
      <t>シハイ</t>
    </rPh>
    <phoneticPr fontId="1"/>
  </si>
  <si>
    <t>Ig：</t>
    <phoneticPr fontId="1"/>
  </si>
  <si>
    <t>Igd：</t>
    <phoneticPr fontId="1"/>
  </si>
  <si>
    <t>Igs：</t>
    <phoneticPr fontId="1"/>
  </si>
  <si>
    <t>ガラス窓標準日射取得率(W/m2)</t>
    <rPh sb="3" eb="4">
      <t>マド</t>
    </rPh>
    <rPh sb="4" eb="6">
      <t>ヒョウジュン</t>
    </rPh>
    <rPh sb="6" eb="8">
      <t>ニッシャ</t>
    </rPh>
    <rPh sb="8" eb="11">
      <t>シュトクリツ</t>
    </rPh>
    <phoneticPr fontId="1"/>
  </si>
  <si>
    <t>ガラス窓標準日射取得率の直達日射成分(W/m2)</t>
    <rPh sb="3" eb="4">
      <t>マド</t>
    </rPh>
    <rPh sb="4" eb="6">
      <t>ヒョウジュン</t>
    </rPh>
    <rPh sb="6" eb="8">
      <t>ニッシャ</t>
    </rPh>
    <rPh sb="8" eb="11">
      <t>シュトクリツ</t>
    </rPh>
    <rPh sb="12" eb="14">
      <t>チョクタツ</t>
    </rPh>
    <rPh sb="14" eb="16">
      <t>ニッシャ</t>
    </rPh>
    <rPh sb="16" eb="18">
      <t>セイブン</t>
    </rPh>
    <phoneticPr fontId="1"/>
  </si>
  <si>
    <t>ガラス窓標準日射取得率の天空日射成分(W/m2)</t>
    <rPh sb="3" eb="4">
      <t>マド</t>
    </rPh>
    <rPh sb="4" eb="6">
      <t>ヒョウジュン</t>
    </rPh>
    <rPh sb="6" eb="8">
      <t>ニッシャ</t>
    </rPh>
    <rPh sb="8" eb="11">
      <t>シュトクリツ</t>
    </rPh>
    <rPh sb="12" eb="14">
      <t>テンクウ</t>
    </rPh>
    <rPh sb="14" eb="16">
      <t>ニッシャ</t>
    </rPh>
    <rPh sb="16" eb="18">
      <t>セイブン</t>
    </rPh>
    <phoneticPr fontId="1"/>
  </si>
  <si>
    <t>上記の２種類の式があるが、暑さ対策で共通の変数となるのは、SCである。</t>
    <rPh sb="0" eb="2">
      <t>ジョウキ</t>
    </rPh>
    <rPh sb="4" eb="6">
      <t>シュルイ</t>
    </rPh>
    <rPh sb="7" eb="8">
      <t>シキ</t>
    </rPh>
    <rPh sb="18" eb="20">
      <t>キョウツウ</t>
    </rPh>
    <phoneticPr fontId="1"/>
  </si>
  <si>
    <t>SC以外の項目は、”暑さ対策”に起因するファクターではないことは理解される。</t>
    <rPh sb="2" eb="4">
      <t>イガイ</t>
    </rPh>
    <rPh sb="5" eb="7">
      <t>コウモク</t>
    </rPh>
    <rPh sb="10" eb="11">
      <t>アツ</t>
    </rPh>
    <rPh sb="12" eb="14">
      <t>タイサク</t>
    </rPh>
    <rPh sb="16" eb="18">
      <t>キイン</t>
    </rPh>
    <rPh sb="32" eb="34">
      <t>リカイ</t>
    </rPh>
    <phoneticPr fontId="1"/>
  </si>
  <si>
    <t>③屋根・外壁からの熱貫流負荷</t>
    <rPh sb="1" eb="3">
      <t>ヤネ</t>
    </rPh>
    <rPh sb="4" eb="6">
      <t>ガイヘキ</t>
    </rPh>
    <rPh sb="9" eb="10">
      <t>ネツ</t>
    </rPh>
    <rPh sb="10" eb="12">
      <t>カンリュウ</t>
    </rPh>
    <rPh sb="12" eb="14">
      <t>フカ</t>
    </rPh>
    <phoneticPr fontId="1"/>
  </si>
  <si>
    <t>Qg＝Kg×Aｇ×（To－Tr）</t>
    <phoneticPr fontId="1"/>
  </si>
  <si>
    <t>Qg＝Kg×Aｇ×（To－Tr）×ｋ１×ｋ２</t>
    <phoneticPr fontId="1"/>
  </si>
  <si>
    <t>Qg＝Kg×Aｇ×（To－Tr－ΔＴｎ）×ｋ１×ｋ２</t>
    <phoneticPr fontId="1"/>
  </si>
  <si>
    <t>Qｗ＝Kｗ×Aｗ×ETD</t>
    <phoneticPr fontId="1"/>
  </si>
  <si>
    <t>Qｗ＝Kｗ×Aｗ×（To－Tr）×ｋ１</t>
    <phoneticPr fontId="1"/>
  </si>
  <si>
    <t>Qｗ＝Kg×Aｗ×（To－Tr－ΔＴｎ）×ｋ１</t>
    <phoneticPr fontId="1"/>
  </si>
  <si>
    <t>Ｑｗ：</t>
    <phoneticPr fontId="1"/>
  </si>
  <si>
    <t>Ｋｗ：</t>
    <phoneticPr fontId="1"/>
  </si>
  <si>
    <t>屋根・外壁の貫流熱負荷（Ｗ）</t>
    <rPh sb="0" eb="2">
      <t>ヤネ</t>
    </rPh>
    <rPh sb="3" eb="5">
      <t>ガイヘキ</t>
    </rPh>
    <rPh sb="6" eb="8">
      <t>カンリュウ</t>
    </rPh>
    <rPh sb="8" eb="9">
      <t>ネツ</t>
    </rPh>
    <rPh sb="9" eb="11">
      <t>フカ</t>
    </rPh>
    <phoneticPr fontId="1"/>
  </si>
  <si>
    <t>屋根・外壁の熱貫流率（Ｗ/m2℃）</t>
    <rPh sb="0" eb="2">
      <t>ヤネ</t>
    </rPh>
    <rPh sb="3" eb="5">
      <t>ガイヘキ</t>
    </rPh>
    <rPh sb="6" eb="7">
      <t>ネツ</t>
    </rPh>
    <rPh sb="7" eb="9">
      <t>カンリュウ</t>
    </rPh>
    <rPh sb="9" eb="10">
      <t>リツ</t>
    </rPh>
    <phoneticPr fontId="1"/>
  </si>
  <si>
    <t>屋根・外壁の面積(m2)</t>
    <rPh sb="0" eb="2">
      <t>ヤネ</t>
    </rPh>
    <rPh sb="3" eb="5">
      <t>ガイヘキ</t>
    </rPh>
    <rPh sb="6" eb="8">
      <t>メンセキ</t>
    </rPh>
    <phoneticPr fontId="1"/>
  </si>
  <si>
    <t>Aｗ：</t>
    <phoneticPr fontId="1"/>
  </si>
  <si>
    <t>ETD：</t>
    <phoneticPr fontId="1"/>
  </si>
  <si>
    <t>実効温度差（℃）</t>
    <rPh sb="0" eb="2">
      <t>ジッコウ</t>
    </rPh>
    <rPh sb="2" eb="5">
      <t>オンドサ</t>
    </rPh>
    <phoneticPr fontId="1"/>
  </si>
  <si>
    <t>上記の３種類の式があるが、暑さ対策で共通の変数となるのは、KｗとETDである。</t>
    <rPh sb="0" eb="2">
      <t>ジョウキ</t>
    </rPh>
    <rPh sb="4" eb="6">
      <t>シュルイ</t>
    </rPh>
    <rPh sb="7" eb="8">
      <t>シキ</t>
    </rPh>
    <rPh sb="18" eb="20">
      <t>キョウツウ</t>
    </rPh>
    <phoneticPr fontId="1"/>
  </si>
  <si>
    <t>KｗとETD以外の項目は、”暑さ対策”に起因するファクターではないことは理解される。</t>
    <rPh sb="6" eb="8">
      <t>イガイ</t>
    </rPh>
    <rPh sb="9" eb="11">
      <t>コウモク</t>
    </rPh>
    <rPh sb="14" eb="15">
      <t>アツ</t>
    </rPh>
    <rPh sb="16" eb="18">
      <t>タイサク</t>
    </rPh>
    <rPh sb="20" eb="22">
      <t>キイン</t>
    </rPh>
    <rPh sb="36" eb="38">
      <t>リカイ</t>
    </rPh>
    <phoneticPr fontId="1"/>
  </si>
  <si>
    <t>夏季の日射熱は、屋根や外壁に蓄熱される。昨今、外気が４０℃に到達することがあるが、日射に曝される外壁や屋根の表面温度は、５０℃、６０℃に到達することがある。通常、熱負荷計算は、外気温度と室内温度の温度差で求められるが、冷房（夏季）については、日射熱による蓄熱される熱を温度換算し、これを実行温度差（ETD）と定義し、求める必要がある。</t>
    <rPh sb="0" eb="2">
      <t>カキ</t>
    </rPh>
    <rPh sb="3" eb="5">
      <t>ニッシャ</t>
    </rPh>
    <rPh sb="5" eb="6">
      <t>ネツ</t>
    </rPh>
    <rPh sb="8" eb="10">
      <t>ヤネ</t>
    </rPh>
    <rPh sb="11" eb="13">
      <t>ガイヘキ</t>
    </rPh>
    <rPh sb="14" eb="16">
      <t>チクネツ</t>
    </rPh>
    <rPh sb="20" eb="22">
      <t>サッコン</t>
    </rPh>
    <rPh sb="23" eb="25">
      <t>ガイキ</t>
    </rPh>
    <rPh sb="30" eb="32">
      <t>トウタツ</t>
    </rPh>
    <rPh sb="41" eb="43">
      <t>ニッシャ</t>
    </rPh>
    <rPh sb="44" eb="45">
      <t>サラ</t>
    </rPh>
    <rPh sb="48" eb="50">
      <t>ガイヘキ</t>
    </rPh>
    <rPh sb="51" eb="53">
      <t>ヤネ</t>
    </rPh>
    <rPh sb="54" eb="56">
      <t>ヒョウメン</t>
    </rPh>
    <rPh sb="56" eb="58">
      <t>オンド</t>
    </rPh>
    <rPh sb="68" eb="70">
      <t>トウタツ</t>
    </rPh>
    <rPh sb="78" eb="80">
      <t>ツウジョウ</t>
    </rPh>
    <rPh sb="81" eb="82">
      <t>ネツ</t>
    </rPh>
    <rPh sb="82" eb="84">
      <t>フカ</t>
    </rPh>
    <rPh sb="84" eb="86">
      <t>ケイサン</t>
    </rPh>
    <rPh sb="88" eb="90">
      <t>ガイキ</t>
    </rPh>
    <rPh sb="90" eb="92">
      <t>オンド</t>
    </rPh>
    <rPh sb="93" eb="95">
      <t>シツナイ</t>
    </rPh>
    <rPh sb="95" eb="97">
      <t>オンド</t>
    </rPh>
    <rPh sb="98" eb="101">
      <t>オンドサ</t>
    </rPh>
    <rPh sb="102" eb="103">
      <t>モト</t>
    </rPh>
    <rPh sb="109" eb="111">
      <t>レイボウ</t>
    </rPh>
    <rPh sb="112" eb="114">
      <t>カキ</t>
    </rPh>
    <rPh sb="121" eb="123">
      <t>ニッシャ</t>
    </rPh>
    <rPh sb="123" eb="124">
      <t>ネツ</t>
    </rPh>
    <rPh sb="127" eb="129">
      <t>チクネツ</t>
    </rPh>
    <rPh sb="132" eb="133">
      <t>ネツ</t>
    </rPh>
    <rPh sb="134" eb="136">
      <t>オンド</t>
    </rPh>
    <rPh sb="136" eb="138">
      <t>カンサン</t>
    </rPh>
    <rPh sb="143" eb="145">
      <t>ジッコウ</t>
    </rPh>
    <rPh sb="145" eb="148">
      <t>オンドサ</t>
    </rPh>
    <rPh sb="154" eb="156">
      <t>テイギ</t>
    </rPh>
    <rPh sb="158" eb="159">
      <t>モト</t>
    </rPh>
    <rPh sb="161" eb="163">
      <t>ヒツヨウ</t>
    </rPh>
    <phoneticPr fontId="1"/>
  </si>
  <si>
    <t>実効温度差（ETD)は、対象となる壁面の方位、時刻などの要素を加味しなければならず、その計算結果を一覧表にしたものが、一般的に普及している。空気調和衛生工学会便覧に示されている。尚、屋根、外壁表面の日射吸収率が変わると、ETDも補正する必要があるので、注意が必要である。</t>
    <rPh sb="0" eb="2">
      <t>ジッコウ</t>
    </rPh>
    <rPh sb="2" eb="5">
      <t>オンドサ</t>
    </rPh>
    <rPh sb="12" eb="14">
      <t>タイショウ</t>
    </rPh>
    <rPh sb="17" eb="19">
      <t>ヘキメン</t>
    </rPh>
    <rPh sb="20" eb="22">
      <t>ホウイ</t>
    </rPh>
    <rPh sb="23" eb="25">
      <t>ジコク</t>
    </rPh>
    <rPh sb="28" eb="30">
      <t>ヨウソ</t>
    </rPh>
    <rPh sb="31" eb="33">
      <t>カミ</t>
    </rPh>
    <rPh sb="44" eb="46">
      <t>ケイサン</t>
    </rPh>
    <rPh sb="46" eb="48">
      <t>ケッカ</t>
    </rPh>
    <rPh sb="49" eb="51">
      <t>イチラン</t>
    </rPh>
    <rPh sb="51" eb="52">
      <t>ヒョウ</t>
    </rPh>
    <rPh sb="59" eb="62">
      <t>イッパンテキ</t>
    </rPh>
    <rPh sb="63" eb="65">
      <t>フキュウ</t>
    </rPh>
    <rPh sb="70" eb="72">
      <t>クウキ</t>
    </rPh>
    <rPh sb="72" eb="74">
      <t>チョウワ</t>
    </rPh>
    <rPh sb="74" eb="76">
      <t>エイセイ</t>
    </rPh>
    <rPh sb="76" eb="77">
      <t>コウ</t>
    </rPh>
    <rPh sb="77" eb="79">
      <t>ガッカイ</t>
    </rPh>
    <rPh sb="79" eb="81">
      <t>ビンラン</t>
    </rPh>
    <rPh sb="82" eb="83">
      <t>シメ</t>
    </rPh>
    <rPh sb="89" eb="90">
      <t>ナオ</t>
    </rPh>
    <rPh sb="91" eb="93">
      <t>ヤネ</t>
    </rPh>
    <rPh sb="94" eb="96">
      <t>ガイヘキ</t>
    </rPh>
    <rPh sb="96" eb="98">
      <t>ヒョウメン</t>
    </rPh>
    <rPh sb="99" eb="101">
      <t>ニッシャ</t>
    </rPh>
    <rPh sb="101" eb="103">
      <t>キュウシュウ</t>
    </rPh>
    <rPh sb="103" eb="104">
      <t>リツ</t>
    </rPh>
    <rPh sb="105" eb="106">
      <t>カ</t>
    </rPh>
    <rPh sb="114" eb="116">
      <t>ホセイ</t>
    </rPh>
    <rPh sb="118" eb="120">
      <t>ヒツヨウ</t>
    </rPh>
    <rPh sb="126" eb="128">
      <t>チュウイ</t>
    </rPh>
    <rPh sb="129" eb="131">
      <t>ヒツヨウ</t>
    </rPh>
    <phoneticPr fontId="1"/>
  </si>
  <si>
    <t>ETDの補正方法は、別紙による。</t>
    <rPh sb="4" eb="6">
      <t>ホセイ</t>
    </rPh>
    <rPh sb="6" eb="8">
      <t>ホウホウ</t>
    </rPh>
    <rPh sb="10" eb="12">
      <t>ベッシ</t>
    </rPh>
    <phoneticPr fontId="1"/>
  </si>
  <si>
    <t>まとめ</t>
    <phoneticPr fontId="1"/>
  </si>
  <si>
    <t>”暑さ対策”は、建築物の外皮（外壁・窓・屋根）の性能を断熱、遮熱、あるいは両方の手法で、改善・改修することで、冷房負荷・暖房負荷の低減を図ることである。</t>
    <rPh sb="1" eb="2">
      <t>アツ</t>
    </rPh>
    <rPh sb="3" eb="5">
      <t>タイサク</t>
    </rPh>
    <rPh sb="8" eb="11">
      <t>ケンチクブツ</t>
    </rPh>
    <rPh sb="12" eb="14">
      <t>ガイヒ</t>
    </rPh>
    <rPh sb="15" eb="17">
      <t>ガイヘキ</t>
    </rPh>
    <rPh sb="18" eb="19">
      <t>マド</t>
    </rPh>
    <rPh sb="20" eb="22">
      <t>ヤネ</t>
    </rPh>
    <rPh sb="24" eb="26">
      <t>セイノウ</t>
    </rPh>
    <rPh sb="27" eb="29">
      <t>ダンネツ</t>
    </rPh>
    <rPh sb="30" eb="32">
      <t>シャネツ</t>
    </rPh>
    <rPh sb="37" eb="39">
      <t>リョウホウ</t>
    </rPh>
    <rPh sb="40" eb="42">
      <t>シュホウ</t>
    </rPh>
    <rPh sb="44" eb="46">
      <t>カイゼン</t>
    </rPh>
    <rPh sb="47" eb="49">
      <t>カイシュウ</t>
    </rPh>
    <rPh sb="55" eb="57">
      <t>レイボウ</t>
    </rPh>
    <rPh sb="57" eb="59">
      <t>フカ</t>
    </rPh>
    <rPh sb="60" eb="62">
      <t>ダンボウ</t>
    </rPh>
    <rPh sb="62" eb="64">
      <t>フカ</t>
    </rPh>
    <rPh sb="65" eb="67">
      <t>テイゲン</t>
    </rPh>
    <rPh sb="68" eb="69">
      <t>ハカ</t>
    </rPh>
    <phoneticPr fontId="1"/>
  </si>
  <si>
    <t>よって、既存建築物の外皮（外壁・屋根・窓ガラス）の熱的特性（熱貫流率・遮熱係数等）を把握し、立地条件、建物構造を加味して、断熱性能、遮熱性能の向上を図ることである。</t>
    <rPh sb="4" eb="6">
      <t>キゾン</t>
    </rPh>
    <rPh sb="6" eb="9">
      <t>ケンチクブツ</t>
    </rPh>
    <rPh sb="10" eb="12">
      <t>ガイヒ</t>
    </rPh>
    <rPh sb="13" eb="15">
      <t>ガイヘキ</t>
    </rPh>
    <rPh sb="16" eb="18">
      <t>ヤネ</t>
    </rPh>
    <rPh sb="19" eb="20">
      <t>マド</t>
    </rPh>
    <rPh sb="25" eb="27">
      <t>ネツテキ</t>
    </rPh>
    <rPh sb="27" eb="29">
      <t>トクセイ</t>
    </rPh>
    <rPh sb="30" eb="31">
      <t>ネツ</t>
    </rPh>
    <rPh sb="31" eb="33">
      <t>カンリュウ</t>
    </rPh>
    <rPh sb="33" eb="34">
      <t>リツ</t>
    </rPh>
    <rPh sb="35" eb="37">
      <t>シャネツ</t>
    </rPh>
    <rPh sb="37" eb="39">
      <t>ケイスウ</t>
    </rPh>
    <rPh sb="39" eb="40">
      <t>ナド</t>
    </rPh>
    <rPh sb="42" eb="44">
      <t>ハアク</t>
    </rPh>
    <rPh sb="46" eb="48">
      <t>リッチ</t>
    </rPh>
    <rPh sb="48" eb="50">
      <t>ジョウケン</t>
    </rPh>
    <rPh sb="51" eb="53">
      <t>タテモノ</t>
    </rPh>
    <rPh sb="53" eb="55">
      <t>コウゾウ</t>
    </rPh>
    <rPh sb="56" eb="58">
      <t>カミ</t>
    </rPh>
    <rPh sb="61" eb="63">
      <t>ダンネツ</t>
    </rPh>
    <rPh sb="63" eb="65">
      <t>セイノウ</t>
    </rPh>
    <rPh sb="66" eb="68">
      <t>シャネツ</t>
    </rPh>
    <rPh sb="68" eb="70">
      <t>セイノウ</t>
    </rPh>
    <rPh sb="71" eb="73">
      <t>コウジョウ</t>
    </rPh>
    <rPh sb="74" eb="75">
      <t>ハカ</t>
    </rPh>
    <phoneticPr fontId="1"/>
  </si>
  <si>
    <t>効果検証には、対象部位の面積、外皮の熱的特性を把握し、対策方法を決め、対策後の外皮の熱的特性から、効果を算出することになる。</t>
    <rPh sb="0" eb="2">
      <t>コウカ</t>
    </rPh>
    <rPh sb="2" eb="4">
      <t>ケンショウ</t>
    </rPh>
    <rPh sb="7" eb="9">
      <t>タイショウ</t>
    </rPh>
    <rPh sb="9" eb="11">
      <t>ブイ</t>
    </rPh>
    <rPh sb="12" eb="14">
      <t>メンセキ</t>
    </rPh>
    <rPh sb="15" eb="17">
      <t>ガイヒ</t>
    </rPh>
    <rPh sb="18" eb="20">
      <t>ネツテキ</t>
    </rPh>
    <rPh sb="20" eb="22">
      <t>トクセイ</t>
    </rPh>
    <rPh sb="23" eb="25">
      <t>ハアク</t>
    </rPh>
    <rPh sb="27" eb="29">
      <t>タイサク</t>
    </rPh>
    <rPh sb="29" eb="31">
      <t>ホウホウ</t>
    </rPh>
    <rPh sb="32" eb="33">
      <t>キ</t>
    </rPh>
    <rPh sb="35" eb="37">
      <t>タイサク</t>
    </rPh>
    <rPh sb="37" eb="38">
      <t>ゴ</t>
    </rPh>
    <rPh sb="39" eb="41">
      <t>ガイヒ</t>
    </rPh>
    <rPh sb="42" eb="44">
      <t>ネツテキ</t>
    </rPh>
    <rPh sb="44" eb="46">
      <t>トクセイ</t>
    </rPh>
    <rPh sb="49" eb="51">
      <t>コウカ</t>
    </rPh>
    <rPh sb="52" eb="54">
      <t>サンシュツ</t>
    </rPh>
    <phoneticPr fontId="1"/>
  </si>
  <si>
    <t>参考文献</t>
    <rPh sb="0" eb="2">
      <t>サンコウ</t>
    </rPh>
    <rPh sb="2" eb="4">
      <t>ブンケン</t>
    </rPh>
    <phoneticPr fontId="1"/>
  </si>
  <si>
    <t>井上宇一著　空気調和ハンドブック（改訂５版）</t>
    <rPh sb="0" eb="2">
      <t>イノウエ</t>
    </rPh>
    <rPh sb="2" eb="5">
      <t>ウイチチョ</t>
    </rPh>
    <rPh sb="6" eb="8">
      <t>クウキ</t>
    </rPh>
    <rPh sb="8" eb="10">
      <t>チョウワ</t>
    </rPh>
    <rPh sb="17" eb="19">
      <t>カイテイ</t>
    </rPh>
    <rPh sb="20" eb="21">
      <t>ハン</t>
    </rPh>
    <phoneticPr fontId="1"/>
  </si>
  <si>
    <t>空気調和・衛生工学会編　徹底マスター熱負荷のしくみ</t>
    <rPh sb="0" eb="2">
      <t>クウキ</t>
    </rPh>
    <rPh sb="2" eb="4">
      <t>チョウワ</t>
    </rPh>
    <rPh sb="5" eb="7">
      <t>エイセイ</t>
    </rPh>
    <rPh sb="7" eb="8">
      <t>コウ</t>
    </rPh>
    <rPh sb="8" eb="10">
      <t>ガッカイ</t>
    </rPh>
    <rPh sb="10" eb="11">
      <t>ヘン</t>
    </rPh>
    <rPh sb="12" eb="14">
      <t>テッテイ</t>
    </rPh>
    <rPh sb="18" eb="19">
      <t>ネツ</t>
    </rPh>
    <rPh sb="19" eb="21">
      <t>フカ</t>
    </rPh>
    <phoneticPr fontId="1"/>
  </si>
  <si>
    <t>項目</t>
    <rPh sb="0" eb="2">
      <t>コウモク</t>
    </rPh>
    <phoneticPr fontId="1"/>
  </si>
  <si>
    <t>暑さ対策の対象の是非</t>
    <rPh sb="0" eb="1">
      <t>アツ</t>
    </rPh>
    <rPh sb="2" eb="4">
      <t>タイサク</t>
    </rPh>
    <rPh sb="5" eb="7">
      <t>タイショウ</t>
    </rPh>
    <rPh sb="8" eb="10">
      <t>ゼヒ</t>
    </rPh>
    <phoneticPr fontId="1"/>
  </si>
  <si>
    <t>※各数値の根拠は、空気調和衛生工学便覧の最新版の数値を採用すべきである。</t>
    <rPh sb="1" eb="2">
      <t>カク</t>
    </rPh>
    <rPh sb="2" eb="4">
      <t>スウチ</t>
    </rPh>
    <rPh sb="5" eb="7">
      <t>コンキョ</t>
    </rPh>
    <rPh sb="9" eb="11">
      <t>クウキ</t>
    </rPh>
    <rPh sb="11" eb="13">
      <t>チョウワ</t>
    </rPh>
    <rPh sb="13" eb="15">
      <t>エイセイ</t>
    </rPh>
    <rPh sb="15" eb="17">
      <t>コウガク</t>
    </rPh>
    <rPh sb="17" eb="19">
      <t>ビンラン</t>
    </rPh>
    <rPh sb="20" eb="23">
      <t>サイシンバン</t>
    </rPh>
    <rPh sb="24" eb="26">
      <t>スウチ</t>
    </rPh>
    <rPh sb="27" eb="29">
      <t>サイヨウ</t>
    </rPh>
    <phoneticPr fontId="1"/>
  </si>
  <si>
    <t>※実効温度の定義、定義式を下記のとおりである。</t>
    <rPh sb="1" eb="3">
      <t>ジッコウ</t>
    </rPh>
    <rPh sb="3" eb="5">
      <t>オンド</t>
    </rPh>
    <rPh sb="6" eb="8">
      <t>テイギ</t>
    </rPh>
    <rPh sb="9" eb="11">
      <t>テイギ</t>
    </rPh>
    <rPh sb="11" eb="12">
      <t>シキ</t>
    </rPh>
    <rPh sb="13" eb="15">
      <t>カキ</t>
    </rPh>
    <phoneticPr fontId="1"/>
  </si>
  <si>
    <t>基準となる実効温度差（ETD)の条件の概要を下記する。</t>
    <rPh sb="0" eb="2">
      <t>キジュン</t>
    </rPh>
    <rPh sb="5" eb="7">
      <t>ジッコウ</t>
    </rPh>
    <rPh sb="7" eb="10">
      <t>オンドサ</t>
    </rPh>
    <rPh sb="16" eb="18">
      <t>ジョウケン</t>
    </rPh>
    <rPh sb="19" eb="21">
      <t>ガイヨウ</t>
    </rPh>
    <rPh sb="22" eb="24">
      <t>カキ</t>
    </rPh>
    <phoneticPr fontId="1"/>
  </si>
  <si>
    <t>φn：</t>
    <phoneticPr fontId="1"/>
  </si>
  <si>
    <t>K：</t>
    <phoneticPr fontId="1"/>
  </si>
  <si>
    <t>SAT：</t>
    <phoneticPr fontId="1"/>
  </si>
  <si>
    <t>相当外気温度、日射の影響を等価な温度に換算し、外気温度があたかも上昇したかのように表した温度</t>
    <rPh sb="0" eb="2">
      <t>ソウトウ</t>
    </rPh>
    <rPh sb="2" eb="4">
      <t>ガイキ</t>
    </rPh>
    <rPh sb="4" eb="6">
      <t>オンド</t>
    </rPh>
    <rPh sb="7" eb="9">
      <t>ニッシャ</t>
    </rPh>
    <rPh sb="10" eb="12">
      <t>エイキョウ</t>
    </rPh>
    <rPh sb="13" eb="15">
      <t>トウカ</t>
    </rPh>
    <rPh sb="16" eb="18">
      <t>オンド</t>
    </rPh>
    <rPh sb="19" eb="21">
      <t>カンサン</t>
    </rPh>
    <rPh sb="23" eb="25">
      <t>ガイキ</t>
    </rPh>
    <rPh sb="25" eb="27">
      <t>オンド</t>
    </rPh>
    <rPh sb="32" eb="34">
      <t>ジョウショウ</t>
    </rPh>
    <rPh sb="41" eb="42">
      <t>アラワ</t>
    </rPh>
    <rPh sb="44" eb="46">
      <t>オンド</t>
    </rPh>
    <phoneticPr fontId="1"/>
  </si>
  <si>
    <t>ＥＴＤ’’：</t>
    <phoneticPr fontId="1"/>
  </si>
  <si>
    <t>ａ：</t>
    <phoneticPr fontId="1"/>
  </si>
  <si>
    <t>0.7：</t>
    <phoneticPr fontId="1"/>
  </si>
  <si>
    <r>
      <t>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</t>
    </r>
    <r>
      <rPr>
        <sz val="11"/>
        <color theme="1"/>
        <rFont val="ＭＳ Ｐゴシック"/>
        <family val="3"/>
        <charset val="128"/>
        <scheme val="minor"/>
      </rPr>
      <t>：</t>
    </r>
    <phoneticPr fontId="1"/>
  </si>
  <si>
    <r>
      <t>ＥＴＤ</t>
    </r>
    <r>
      <rPr>
        <vertAlign val="subscript"/>
        <sz val="11"/>
        <color theme="1"/>
        <rFont val="ＭＳ Ｐゴシック"/>
        <family val="3"/>
        <charset val="128"/>
        <scheme val="minor"/>
      </rPr>
      <t>0.7・影</t>
    </r>
    <r>
      <rPr>
        <sz val="11"/>
        <color theme="1"/>
        <rFont val="ＭＳ Ｐゴシック"/>
        <family val="3"/>
        <charset val="128"/>
        <scheme val="minor"/>
      </rPr>
      <t>：</t>
    </r>
    <rPh sb="7" eb="8">
      <t>カゲ</t>
    </rPh>
    <phoneticPr fontId="1"/>
  </si>
  <si>
    <t>暑さ対策を実施する屋根、外壁、窓の施工面積を記入する。施工しない場合は「０」を入力する。</t>
    <rPh sb="0" eb="1">
      <t>アツ</t>
    </rPh>
    <rPh sb="2" eb="4">
      <t>タイサク</t>
    </rPh>
    <rPh sb="5" eb="7">
      <t>ジッシ</t>
    </rPh>
    <rPh sb="9" eb="11">
      <t>ヤネ</t>
    </rPh>
    <rPh sb="12" eb="14">
      <t>ガイヘキ</t>
    </rPh>
    <rPh sb="15" eb="16">
      <t>マド</t>
    </rPh>
    <rPh sb="17" eb="19">
      <t>セコウ</t>
    </rPh>
    <rPh sb="19" eb="21">
      <t>メンセキ</t>
    </rPh>
    <rPh sb="22" eb="24">
      <t>キニュウ</t>
    </rPh>
    <rPh sb="27" eb="29">
      <t>セコウ</t>
    </rPh>
    <rPh sb="32" eb="34">
      <t>バアイ</t>
    </rPh>
    <rPh sb="39" eb="41">
      <t>ニュウリョク</t>
    </rPh>
    <phoneticPr fontId="1"/>
  </si>
  <si>
    <t>図１　方位の解釈の例１</t>
    <rPh sb="0" eb="1">
      <t>ズ</t>
    </rPh>
    <rPh sb="3" eb="5">
      <t>ホウイ</t>
    </rPh>
    <rPh sb="6" eb="8">
      <t>カイシャク</t>
    </rPh>
    <rPh sb="9" eb="10">
      <t>レイ</t>
    </rPh>
    <phoneticPr fontId="1"/>
  </si>
  <si>
    <t>図２　方位の解釈の例２</t>
    <rPh sb="0" eb="1">
      <t>ズ</t>
    </rPh>
    <rPh sb="3" eb="5">
      <t>ホウイ</t>
    </rPh>
    <rPh sb="6" eb="8">
      <t>カイシャク</t>
    </rPh>
    <rPh sb="9" eb="10">
      <t>レイ</t>
    </rPh>
    <phoneticPr fontId="1"/>
  </si>
  <si>
    <t>方位については、図１、図２を参考にすること。</t>
    <rPh sb="0" eb="2">
      <t>ホウイ</t>
    </rPh>
    <rPh sb="8" eb="9">
      <t>ズ</t>
    </rPh>
    <rPh sb="11" eb="12">
      <t>ズ</t>
    </rPh>
    <rPh sb="14" eb="16">
      <t>サンコウ</t>
    </rPh>
    <phoneticPr fontId="1"/>
  </si>
  <si>
    <t>吹付けロックウール(60mm)の複層とする。</t>
    <rPh sb="0" eb="2">
      <t>フキツケ</t>
    </rPh>
    <rPh sb="16" eb="18">
      <t>フクソウ</t>
    </rPh>
    <phoneticPr fontId="1"/>
  </si>
  <si>
    <t>表－１　東京における日射吸収率0.7、室内温度26℃の実効温度差（ETD)</t>
    <rPh sb="0" eb="1">
      <t>ヒョウ</t>
    </rPh>
    <rPh sb="4" eb="6">
      <t>トウキョウ</t>
    </rPh>
    <rPh sb="10" eb="12">
      <t>ニッシャ</t>
    </rPh>
    <rPh sb="12" eb="14">
      <t>キュウシュウ</t>
    </rPh>
    <rPh sb="14" eb="15">
      <t>リツ</t>
    </rPh>
    <rPh sb="19" eb="21">
      <t>シツナイ</t>
    </rPh>
    <rPh sb="21" eb="23">
      <t>オンド</t>
    </rPh>
    <rPh sb="27" eb="29">
      <t>ジッコウ</t>
    </rPh>
    <rPh sb="29" eb="32">
      <t>オンドサ</t>
    </rPh>
    <phoneticPr fontId="1"/>
  </si>
  <si>
    <t>表-２　表－１に対して、地域補正、室内温度補正(２８℃)、日射吸収率(0.7)における補正ETD</t>
    <rPh sb="0" eb="1">
      <t>ヒョウ</t>
    </rPh>
    <rPh sb="4" eb="5">
      <t>ヒョウ</t>
    </rPh>
    <rPh sb="8" eb="9">
      <t>タイ</t>
    </rPh>
    <rPh sb="12" eb="14">
      <t>チイキ</t>
    </rPh>
    <rPh sb="14" eb="16">
      <t>ホセイ</t>
    </rPh>
    <rPh sb="17" eb="19">
      <t>シツナイ</t>
    </rPh>
    <rPh sb="19" eb="21">
      <t>オンド</t>
    </rPh>
    <rPh sb="21" eb="23">
      <t>ホセイ</t>
    </rPh>
    <rPh sb="29" eb="31">
      <t>ニッシャ</t>
    </rPh>
    <rPh sb="31" eb="33">
      <t>キュウシュウ</t>
    </rPh>
    <rPh sb="33" eb="34">
      <t>リツ</t>
    </rPh>
    <rPh sb="43" eb="45">
      <t>ホセイ</t>
    </rPh>
    <phoneticPr fontId="1"/>
  </si>
  <si>
    <t>表-４　表－３による日射吸収率補正に加え、地域補正（熊谷市）、室内温度補正を行った実効温度差（ＥＴＤ）</t>
    <rPh sb="0" eb="1">
      <t>ヒョウ</t>
    </rPh>
    <rPh sb="4" eb="5">
      <t>ヒョウ</t>
    </rPh>
    <rPh sb="10" eb="12">
      <t>ニッシャ</t>
    </rPh>
    <rPh sb="12" eb="14">
      <t>キュウシュウ</t>
    </rPh>
    <rPh sb="14" eb="15">
      <t>リツ</t>
    </rPh>
    <rPh sb="15" eb="17">
      <t>ホセイ</t>
    </rPh>
    <rPh sb="18" eb="19">
      <t>クワ</t>
    </rPh>
    <rPh sb="21" eb="23">
      <t>チイキ</t>
    </rPh>
    <rPh sb="23" eb="25">
      <t>ホセイ</t>
    </rPh>
    <rPh sb="26" eb="28">
      <t>クマガヤ</t>
    </rPh>
    <rPh sb="28" eb="29">
      <t>シ</t>
    </rPh>
    <rPh sb="31" eb="33">
      <t>シツナイ</t>
    </rPh>
    <rPh sb="33" eb="35">
      <t>オンド</t>
    </rPh>
    <rPh sb="35" eb="37">
      <t>ホセイ</t>
    </rPh>
    <rPh sb="38" eb="39">
      <t>オコナ</t>
    </rPh>
    <rPh sb="41" eb="43">
      <t>ジッコウ</t>
    </rPh>
    <rPh sb="43" eb="46">
      <t>オンドサ</t>
    </rPh>
    <phoneticPr fontId="1"/>
  </si>
  <si>
    <t>気象庁ＨＰから直接日射量（１ケ月の総日射量実測値）</t>
    <rPh sb="0" eb="3">
      <t>キショウチョウ</t>
    </rPh>
    <rPh sb="7" eb="9">
      <t>チョクセツ</t>
    </rPh>
    <rPh sb="9" eb="11">
      <t>ニッシャ</t>
    </rPh>
    <rPh sb="11" eb="12">
      <t>リョウ</t>
    </rPh>
    <rPh sb="15" eb="16">
      <t>ツキ</t>
    </rPh>
    <rPh sb="17" eb="18">
      <t>ソウ</t>
    </rPh>
    <rPh sb="18" eb="20">
      <t>ニッシャ</t>
    </rPh>
    <rPh sb="20" eb="21">
      <t>リョウ</t>
    </rPh>
    <rPh sb="21" eb="24">
      <t>ジッソクチ</t>
    </rPh>
    <phoneticPr fontId="1"/>
  </si>
  <si>
    <t>つくば市</t>
    <rPh sb="3" eb="4">
      <t>シ</t>
    </rPh>
    <phoneticPr fontId="1"/>
  </si>
  <si>
    <t>平均値</t>
    <rPh sb="0" eb="3">
      <t>ヘイキンチ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</si>
  <si>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</si>
  <si>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</si>
  <si>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</si>
  <si>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</si>
  <si>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</si>
  <si>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</si>
  <si>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平均値</t>
    <rPh sb="0" eb="2">
      <t>ヘイキン</t>
    </rPh>
    <rPh sb="2" eb="3">
      <t>アタイ</t>
    </rPh>
    <phoneticPr fontId="1"/>
  </si>
  <si>
    <t>採用値</t>
    <rPh sb="0" eb="2">
      <t>サイヨウ</t>
    </rPh>
    <rPh sb="2" eb="3">
      <t>アタイ</t>
    </rPh>
    <phoneticPr fontId="1"/>
  </si>
  <si>
    <t>日射係数</t>
    <rPh sb="0" eb="2">
      <t>ニッシャ</t>
    </rPh>
    <rPh sb="2" eb="4">
      <t>ケイスウ</t>
    </rPh>
    <phoneticPr fontId="1"/>
  </si>
  <si>
    <t>初版</t>
    <rPh sb="0" eb="2">
      <t>ショハン</t>
    </rPh>
    <phoneticPr fontId="1"/>
  </si>
  <si>
    <t>黄色に着色したセルに必要事項を記入してください。記入例、注意事項に留意して作成してください。</t>
    <rPh sb="0" eb="2">
      <t>キイロ</t>
    </rPh>
    <rPh sb="3" eb="5">
      <t>チャクショク</t>
    </rPh>
    <rPh sb="10" eb="12">
      <t>ヒツヨウ</t>
    </rPh>
    <rPh sb="12" eb="14">
      <t>ジコウ</t>
    </rPh>
    <rPh sb="15" eb="17">
      <t>キニュウ</t>
    </rPh>
    <rPh sb="24" eb="26">
      <t>キニュウ</t>
    </rPh>
    <rPh sb="26" eb="27">
      <t>レイ</t>
    </rPh>
    <rPh sb="28" eb="30">
      <t>チュウイ</t>
    </rPh>
    <rPh sb="30" eb="32">
      <t>ジコウ</t>
    </rPh>
    <rPh sb="33" eb="35">
      <t>リュウイ</t>
    </rPh>
    <rPh sb="37" eb="39">
      <t>サクセイ</t>
    </rPh>
    <phoneticPr fontId="1"/>
  </si>
  <si>
    <t>立地場所に近い数値を採用してください。</t>
    <rPh sb="0" eb="2">
      <t>リッチ</t>
    </rPh>
    <rPh sb="2" eb="4">
      <t>バショ</t>
    </rPh>
    <rPh sb="5" eb="6">
      <t>チカ</t>
    </rPh>
    <rPh sb="7" eb="9">
      <t>スウチ</t>
    </rPh>
    <rPh sb="10" eb="12">
      <t>サイヨウ</t>
    </rPh>
    <phoneticPr fontId="1"/>
  </si>
  <si>
    <t>２ページ目に暑さ対策の計算結果が示されます。</t>
    <rPh sb="4" eb="5">
      <t>メ</t>
    </rPh>
    <rPh sb="6" eb="7">
      <t>アツ</t>
    </rPh>
    <rPh sb="8" eb="10">
      <t>タイサク</t>
    </rPh>
    <rPh sb="11" eb="13">
      <t>ケイサン</t>
    </rPh>
    <rPh sb="13" eb="15">
      <t>ケッカ</t>
    </rPh>
    <rPh sb="16" eb="17">
      <t>シメ</t>
    </rPh>
    <phoneticPr fontId="1"/>
  </si>
  <si>
    <t>【記入例】</t>
    <rPh sb="1" eb="3">
      <t>キニュウ</t>
    </rPh>
    <rPh sb="3" eb="4">
      <t>レイ</t>
    </rPh>
    <phoneticPr fontId="1"/>
  </si>
  <si>
    <t>年間冷房熱負荷削減量=Σ（対策前の外皮の熱負荷－対策後の外皮の熱負荷）</t>
    <rPh sb="13" eb="15">
      <t>タイサク</t>
    </rPh>
    <rPh sb="15" eb="16">
      <t>マエ</t>
    </rPh>
    <rPh sb="17" eb="19">
      <t>ガイヒ</t>
    </rPh>
    <rPh sb="20" eb="21">
      <t>ネツ</t>
    </rPh>
    <rPh sb="21" eb="23">
      <t>フカ</t>
    </rPh>
    <rPh sb="24" eb="26">
      <t>タイサク</t>
    </rPh>
    <rPh sb="26" eb="27">
      <t>ゴ</t>
    </rPh>
    <rPh sb="28" eb="30">
      <t>ガイヒ</t>
    </rPh>
    <rPh sb="31" eb="32">
      <t>ネツ</t>
    </rPh>
    <rPh sb="32" eb="34">
      <t>フカ</t>
    </rPh>
    <phoneticPr fontId="1"/>
  </si>
  <si>
    <t>年間暖房熱負荷削減量=Σ（対策前の外皮の熱負荷－対策後の外皮の熱負荷）</t>
    <rPh sb="13" eb="15">
      <t>タイサク</t>
    </rPh>
    <rPh sb="15" eb="16">
      <t>マエ</t>
    </rPh>
    <rPh sb="17" eb="19">
      <t>ガイヒ</t>
    </rPh>
    <rPh sb="20" eb="21">
      <t>ネツ</t>
    </rPh>
    <rPh sb="21" eb="23">
      <t>フカ</t>
    </rPh>
    <rPh sb="24" eb="26">
      <t>タイサク</t>
    </rPh>
    <rPh sb="26" eb="27">
      <t>ゴ</t>
    </rPh>
    <rPh sb="28" eb="30">
      <t>ガイヒ</t>
    </rPh>
    <rPh sb="31" eb="32">
      <t>ネツ</t>
    </rPh>
    <rPh sb="32" eb="34">
      <t>フカ</t>
    </rPh>
    <phoneticPr fontId="1"/>
  </si>
  <si>
    <t>年間冷房時電気使用量削減量=年間冷房熱負荷削減量×冷房COP</t>
    <rPh sb="14" eb="16">
      <t>ネンカン</t>
    </rPh>
    <rPh sb="16" eb="18">
      <t>レイボウ</t>
    </rPh>
    <rPh sb="18" eb="19">
      <t>ネツ</t>
    </rPh>
    <rPh sb="19" eb="21">
      <t>フカ</t>
    </rPh>
    <rPh sb="21" eb="23">
      <t>サクゲン</t>
    </rPh>
    <rPh sb="23" eb="24">
      <t>リョウ</t>
    </rPh>
    <rPh sb="25" eb="27">
      <t>レイボウ</t>
    </rPh>
    <phoneticPr fontId="1"/>
  </si>
  <si>
    <t>年間暖房時電気使用量削減量=年間暖房熱負荷削減量×暖房COP</t>
    <phoneticPr fontId="1"/>
  </si>
  <si>
    <t>年間暖房時電気使用量削減量=年間暖房熱負荷削減量×暖房COP</t>
    <phoneticPr fontId="1"/>
  </si>
  <si>
    <t>年間熱負荷削減量=年間冷房時電気使用量削減量＋年間暖房熱負荷削減量</t>
    <rPh sb="9" eb="11">
      <t>ネンカン</t>
    </rPh>
    <rPh sb="11" eb="13">
      <t>レイボウ</t>
    </rPh>
    <rPh sb="13" eb="14">
      <t>ジ</t>
    </rPh>
    <rPh sb="14" eb="16">
      <t>デンキ</t>
    </rPh>
    <rPh sb="16" eb="19">
      <t>シヨウリョウ</t>
    </rPh>
    <rPh sb="19" eb="21">
      <t>サクゲン</t>
    </rPh>
    <rPh sb="21" eb="22">
      <t>リョウ</t>
    </rPh>
    <phoneticPr fontId="1"/>
  </si>
  <si>
    <t>暑さ対策による二酸化炭素削減量=年間電気使用量削減量(MWh)×0.495t-CO2/MWh</t>
    <rPh sb="16" eb="18">
      <t>ネンカン</t>
    </rPh>
    <rPh sb="18" eb="20">
      <t>デンキ</t>
    </rPh>
    <rPh sb="20" eb="23">
      <t>シヨウリョウ</t>
    </rPh>
    <rPh sb="23" eb="25">
      <t>サクゲン</t>
    </rPh>
    <rPh sb="25" eb="26">
      <t>リョウ</t>
    </rPh>
    <phoneticPr fontId="1"/>
  </si>
  <si>
    <t>鋼板(シングル折板）</t>
    <rPh sb="0" eb="2">
      <t>コウハン</t>
    </rPh>
    <rPh sb="7" eb="8">
      <t>オリ</t>
    </rPh>
    <rPh sb="8" eb="9">
      <t>イタ</t>
    </rPh>
    <phoneticPr fontId="1"/>
  </si>
  <si>
    <t>裏張断熱材</t>
    <rPh sb="0" eb="1">
      <t>ウラ</t>
    </rPh>
    <rPh sb="1" eb="2">
      <t>ハリ</t>
    </rPh>
    <rPh sb="2" eb="5">
      <t>ダンネツザイ</t>
    </rPh>
    <phoneticPr fontId="1"/>
  </si>
  <si>
    <t>無機質高充填フォーム</t>
    <rPh sb="0" eb="2">
      <t>ムキ</t>
    </rPh>
    <rPh sb="2" eb="3">
      <t>シツ</t>
    </rPh>
    <rPh sb="3" eb="4">
      <t>タカ</t>
    </rPh>
    <rPh sb="4" eb="6">
      <t>ジュウテン</t>
    </rPh>
    <phoneticPr fontId="1"/>
  </si>
  <si>
    <t>一般的な工場・倉庫などの金属屋根の想定した値とする。</t>
    <rPh sb="0" eb="3">
      <t>イッパンテキ</t>
    </rPh>
    <rPh sb="4" eb="6">
      <t>コウジョウ</t>
    </rPh>
    <rPh sb="7" eb="9">
      <t>ソウコ</t>
    </rPh>
    <rPh sb="12" eb="14">
      <t>キンゾク</t>
    </rPh>
    <rPh sb="14" eb="16">
      <t>ヤネ</t>
    </rPh>
    <rPh sb="17" eb="19">
      <t>ソウテイ</t>
    </rPh>
    <rPh sb="21" eb="22">
      <t>アタイ</t>
    </rPh>
    <phoneticPr fontId="1"/>
  </si>
  <si>
    <t>押えコンクリート</t>
    <rPh sb="0" eb="1">
      <t>オサ</t>
    </rPh>
    <phoneticPr fontId="1"/>
  </si>
  <si>
    <t>防水層</t>
    <rPh sb="0" eb="2">
      <t>ボウスイ</t>
    </rPh>
    <rPh sb="2" eb="3">
      <t>ソウ</t>
    </rPh>
    <phoneticPr fontId="1"/>
  </si>
  <si>
    <t>石膏ボード</t>
    <rPh sb="0" eb="2">
      <t>セッコウ</t>
    </rPh>
    <phoneticPr fontId="1"/>
  </si>
  <si>
    <t>RC造陸屋根120mm、アスファルト防水の場合</t>
    <rPh sb="2" eb="3">
      <t>ゾウ</t>
    </rPh>
    <rPh sb="3" eb="6">
      <t>ロクヤネ</t>
    </rPh>
    <rPh sb="18" eb="20">
      <t>ボウスイ</t>
    </rPh>
    <rPh sb="21" eb="23">
      <t>バアイ</t>
    </rPh>
    <phoneticPr fontId="1"/>
  </si>
  <si>
    <t>外皮（屋根と外壁の熱貫流率）</t>
    <rPh sb="0" eb="2">
      <t>ガイヒ</t>
    </rPh>
    <rPh sb="3" eb="5">
      <t>ヤネ</t>
    </rPh>
    <rPh sb="6" eb="8">
      <t>ガイヘキ</t>
    </rPh>
    <rPh sb="9" eb="10">
      <t>ネツ</t>
    </rPh>
    <rPh sb="10" eb="12">
      <t>カンリュウ</t>
    </rPh>
    <rPh sb="12" eb="13">
      <t>リツ</t>
    </rPh>
    <phoneticPr fontId="1"/>
  </si>
  <si>
    <t>表－１　暑さ対策施工部位面積入力表</t>
    <rPh sb="0" eb="1">
      <t>ヒョウ</t>
    </rPh>
    <rPh sb="4" eb="5">
      <t>アツ</t>
    </rPh>
    <rPh sb="6" eb="8">
      <t>タイサク</t>
    </rPh>
    <rPh sb="8" eb="10">
      <t>セコウ</t>
    </rPh>
    <rPh sb="10" eb="12">
      <t>ブイ</t>
    </rPh>
    <rPh sb="12" eb="14">
      <t>メンセキ</t>
    </rPh>
    <rPh sb="14" eb="16">
      <t>ニュウリョク</t>
    </rPh>
    <rPh sb="16" eb="17">
      <t>ヒョウ</t>
    </rPh>
    <phoneticPr fontId="1"/>
  </si>
  <si>
    <t>表－２　対象建築物の年間消費電力入力表</t>
    <rPh sb="0" eb="1">
      <t>ヒョウ</t>
    </rPh>
    <rPh sb="4" eb="6">
      <t>タイショウ</t>
    </rPh>
    <rPh sb="6" eb="9">
      <t>ケンチクブツ</t>
    </rPh>
    <rPh sb="10" eb="12">
      <t>ネンカン</t>
    </rPh>
    <rPh sb="12" eb="14">
      <t>ショウヒ</t>
    </rPh>
    <rPh sb="14" eb="16">
      <t>デンリョク</t>
    </rPh>
    <rPh sb="16" eb="18">
      <t>ニュウリョク</t>
    </rPh>
    <rPh sb="18" eb="19">
      <t>ヒョウ</t>
    </rPh>
    <phoneticPr fontId="1"/>
  </si>
  <si>
    <t>W/m2℃</t>
  </si>
  <si>
    <t>表A　表－５の記入例</t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</si>
  <si>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t>備考</t>
    <rPh sb="0" eb="2">
      <t>ビコウ</t>
    </rPh>
    <phoneticPr fontId="1"/>
  </si>
  <si>
    <t>表B　表－６の記入例</t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</si>
  <si>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t>表C　表－８の記入例</t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</si>
  <si>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t>表－９　暑さ対策による省エネ効果算出結果表</t>
    <rPh sb="11" eb="12">
      <t>ショウ</t>
    </rPh>
    <rPh sb="14" eb="16">
      <t>コウカ</t>
    </rPh>
    <rPh sb="16" eb="18">
      <t>サンシュツ</t>
    </rPh>
    <rPh sb="18" eb="20">
      <t>ケッカ</t>
    </rPh>
    <rPh sb="20" eb="21">
      <t>ヒョウ</t>
    </rPh>
    <phoneticPr fontId="1"/>
  </si>
  <si>
    <t>直接日射量</t>
    <phoneticPr fontId="1"/>
  </si>
  <si>
    <t>観測場所</t>
    <rPh sb="0" eb="2">
      <t>カンソク</t>
    </rPh>
    <rPh sb="2" eb="4">
      <t>バショ</t>
    </rPh>
    <phoneticPr fontId="1"/>
  </si>
  <si>
    <t xml:space="preserve">上尾市（あげおし） </t>
  </si>
  <si>
    <t xml:space="preserve">朝霞市（あさかし） </t>
  </si>
  <si>
    <t xml:space="preserve">伊奈町（いなまち） </t>
  </si>
  <si>
    <t xml:space="preserve">入間市（いるまし） </t>
  </si>
  <si>
    <t xml:space="preserve">小鹿野町（おがのまち） </t>
  </si>
  <si>
    <t xml:space="preserve">小川町（おがわまち） </t>
  </si>
  <si>
    <t xml:space="preserve">桶川市（おけがわし） </t>
  </si>
  <si>
    <t xml:space="preserve">越生町（おごせまち） </t>
  </si>
  <si>
    <t xml:space="preserve">春日部市（かすかべし） </t>
  </si>
  <si>
    <t xml:space="preserve">加須市（かぞし） </t>
  </si>
  <si>
    <t xml:space="preserve">神川町（かみかわまち） </t>
  </si>
  <si>
    <t xml:space="preserve">上里町（かみさとまち） </t>
  </si>
  <si>
    <t xml:space="preserve">川口市（かわぐちし） </t>
  </si>
  <si>
    <t xml:space="preserve">川越市（かわごえし） </t>
  </si>
  <si>
    <t xml:space="preserve">川島町（かわじままち） </t>
  </si>
  <si>
    <t xml:space="preserve">北本市（きたもとし） </t>
  </si>
  <si>
    <t xml:space="preserve">行田市（ぎょうだし） </t>
  </si>
  <si>
    <t xml:space="preserve">久喜市（くきし） </t>
  </si>
  <si>
    <t xml:space="preserve">熊谷市（くまがやし） </t>
  </si>
  <si>
    <t xml:space="preserve">鴻巣市（こうのすし） </t>
  </si>
  <si>
    <t xml:space="preserve">越谷市（こしがやし） </t>
  </si>
  <si>
    <t xml:space="preserve">さいたま市（さいたまし） </t>
  </si>
  <si>
    <t xml:space="preserve">坂戸市（さかどし） </t>
  </si>
  <si>
    <t xml:space="preserve">幸手市（さってし） </t>
  </si>
  <si>
    <t xml:space="preserve">狭山市（さやまし） </t>
  </si>
  <si>
    <t xml:space="preserve">志木市（しきし） </t>
  </si>
  <si>
    <t xml:space="preserve">白岡市（しらおかし） </t>
  </si>
  <si>
    <t xml:space="preserve">杉戸町（すぎとまち） </t>
  </si>
  <si>
    <t xml:space="preserve">草加市（そうかし） </t>
  </si>
  <si>
    <t xml:space="preserve">秩父市（ちちぶし） </t>
  </si>
  <si>
    <t xml:space="preserve">鶴ヶ島市（つるがしまし） </t>
  </si>
  <si>
    <t xml:space="preserve">ときがわ町（ときがわまち） </t>
  </si>
  <si>
    <t xml:space="preserve">所沢市（ところざわし） </t>
  </si>
  <si>
    <t xml:space="preserve">戸田市（とだし） </t>
  </si>
  <si>
    <t xml:space="preserve">長瀞町（ながとろまち） </t>
  </si>
  <si>
    <t xml:space="preserve">滑川町（なめがわまち） </t>
  </si>
  <si>
    <t xml:space="preserve">新座市（にいざし） </t>
  </si>
  <si>
    <t xml:space="preserve">蓮田市（はすだし） </t>
  </si>
  <si>
    <t xml:space="preserve">鳩山町（はとやままち） </t>
  </si>
  <si>
    <t xml:space="preserve">羽生市（はにゅうし） </t>
  </si>
  <si>
    <t xml:space="preserve">飯能市（はんのうし） </t>
  </si>
  <si>
    <t xml:space="preserve">東秩父村（ひがしちちぶむら） </t>
  </si>
  <si>
    <t xml:space="preserve">東松山市（ひがしまつやまし） </t>
  </si>
  <si>
    <t xml:space="preserve">日高市（ひだかし） </t>
  </si>
  <si>
    <t xml:space="preserve">深谷市（ふかやし） </t>
  </si>
  <si>
    <t xml:space="preserve">富士見市（ふじみし） </t>
  </si>
  <si>
    <t xml:space="preserve">ふじみ野市（ふじみのし） </t>
  </si>
  <si>
    <t xml:space="preserve">本庄市（ほんじょうし） </t>
  </si>
  <si>
    <t xml:space="preserve">松伏町（まつぶしまち） </t>
  </si>
  <si>
    <t xml:space="preserve">三郷市（みさとし） </t>
  </si>
  <si>
    <t xml:space="preserve">美里町（みさとまち） </t>
  </si>
  <si>
    <t xml:space="preserve">皆野町（みなのまち） </t>
  </si>
  <si>
    <t xml:space="preserve">宮代町（みやしろまち） </t>
  </si>
  <si>
    <t xml:space="preserve">三芳町（みよしまち） </t>
  </si>
  <si>
    <t xml:space="preserve">毛呂山町（もろやままち） </t>
  </si>
  <si>
    <t xml:space="preserve">八潮市（やしおし） </t>
  </si>
  <si>
    <t xml:space="preserve">横瀬町（よこぜまち） </t>
  </si>
  <si>
    <t xml:space="preserve">吉川市（よしかわし） </t>
  </si>
  <si>
    <t xml:space="preserve">吉見町（よしみまち） </t>
  </si>
  <si>
    <t xml:space="preserve">寄居町（よりいまち） </t>
  </si>
  <si>
    <t xml:space="preserve">嵐山町（らんざんまち） </t>
  </si>
  <si>
    <t xml:space="preserve">和光市（わこうし） </t>
  </si>
  <si>
    <t xml:space="preserve">蕨市（わらびし） </t>
  </si>
  <si>
    <t xml:space="preserve">上尾市 </t>
    <phoneticPr fontId="1"/>
  </si>
  <si>
    <t>朝霞市</t>
    <phoneticPr fontId="1"/>
  </si>
  <si>
    <t>伊奈町</t>
    <phoneticPr fontId="1"/>
  </si>
  <si>
    <t>入間市</t>
    <phoneticPr fontId="1"/>
  </si>
  <si>
    <t>小鹿野町</t>
    <phoneticPr fontId="1"/>
  </si>
  <si>
    <t>小川町</t>
    <phoneticPr fontId="1"/>
  </si>
  <si>
    <t>桶川市</t>
    <phoneticPr fontId="1"/>
  </si>
  <si>
    <t>越生町</t>
    <phoneticPr fontId="1"/>
  </si>
  <si>
    <t>春日部市</t>
    <phoneticPr fontId="1"/>
  </si>
  <si>
    <t>加須市</t>
    <phoneticPr fontId="1"/>
  </si>
  <si>
    <t>神川町</t>
    <phoneticPr fontId="1"/>
  </si>
  <si>
    <t>上里町</t>
    <phoneticPr fontId="1"/>
  </si>
  <si>
    <t>川口市</t>
    <phoneticPr fontId="1"/>
  </si>
  <si>
    <t>川越市</t>
    <phoneticPr fontId="1"/>
  </si>
  <si>
    <t>北本市</t>
    <phoneticPr fontId="1"/>
  </si>
  <si>
    <t>川島町</t>
    <phoneticPr fontId="1"/>
  </si>
  <si>
    <t>行田市</t>
    <phoneticPr fontId="1"/>
  </si>
  <si>
    <t>久喜市</t>
    <phoneticPr fontId="1"/>
  </si>
  <si>
    <t>熊谷市</t>
    <phoneticPr fontId="1"/>
  </si>
  <si>
    <t>鴻巣市</t>
    <phoneticPr fontId="1"/>
  </si>
  <si>
    <t>越谷市</t>
    <phoneticPr fontId="1"/>
  </si>
  <si>
    <t>さいたま市</t>
    <phoneticPr fontId="1"/>
  </si>
  <si>
    <t>坂戸市</t>
    <phoneticPr fontId="1"/>
  </si>
  <si>
    <t>幸手市</t>
    <phoneticPr fontId="1"/>
  </si>
  <si>
    <t>狭山市</t>
    <phoneticPr fontId="1"/>
  </si>
  <si>
    <t>志木市</t>
    <phoneticPr fontId="1"/>
  </si>
  <si>
    <t>白岡市</t>
    <phoneticPr fontId="1"/>
  </si>
  <si>
    <t>杉戸町</t>
    <phoneticPr fontId="1"/>
  </si>
  <si>
    <t>草加市</t>
    <phoneticPr fontId="1"/>
  </si>
  <si>
    <t>秩父市</t>
    <phoneticPr fontId="1"/>
  </si>
  <si>
    <t>鶴ヶ島市</t>
    <phoneticPr fontId="1"/>
  </si>
  <si>
    <t>ときがわ町</t>
    <phoneticPr fontId="1"/>
  </si>
  <si>
    <t>所沢市</t>
    <phoneticPr fontId="1"/>
  </si>
  <si>
    <t>戸田市</t>
    <phoneticPr fontId="1"/>
  </si>
  <si>
    <t>長瀞町</t>
    <phoneticPr fontId="1"/>
  </si>
  <si>
    <t>滑川町</t>
    <phoneticPr fontId="1"/>
  </si>
  <si>
    <t>新座市</t>
    <phoneticPr fontId="1"/>
  </si>
  <si>
    <t>蓮田市</t>
    <phoneticPr fontId="1"/>
  </si>
  <si>
    <t>鳩山町</t>
    <phoneticPr fontId="1"/>
  </si>
  <si>
    <t>羽生市</t>
    <phoneticPr fontId="1"/>
  </si>
  <si>
    <t>飯能市</t>
    <phoneticPr fontId="1"/>
  </si>
  <si>
    <t>東秩父村</t>
    <phoneticPr fontId="1"/>
  </si>
  <si>
    <t>東松山市</t>
    <phoneticPr fontId="1"/>
  </si>
  <si>
    <t>日高市</t>
    <phoneticPr fontId="1"/>
  </si>
  <si>
    <t>深谷市</t>
    <phoneticPr fontId="1"/>
  </si>
  <si>
    <t>富士見市</t>
    <phoneticPr fontId="1"/>
  </si>
  <si>
    <t>ふじみ野市</t>
    <phoneticPr fontId="1"/>
  </si>
  <si>
    <t>本庄市</t>
    <phoneticPr fontId="1"/>
  </si>
  <si>
    <t>松伏町</t>
    <phoneticPr fontId="1"/>
  </si>
  <si>
    <t>三郷市</t>
    <phoneticPr fontId="1"/>
  </si>
  <si>
    <t>美里町</t>
    <phoneticPr fontId="1"/>
  </si>
  <si>
    <t>皆野町</t>
    <phoneticPr fontId="1"/>
  </si>
  <si>
    <t>宮代町</t>
    <phoneticPr fontId="1"/>
  </si>
  <si>
    <t>三芳町</t>
    <phoneticPr fontId="1"/>
  </si>
  <si>
    <t>毛呂山町</t>
    <phoneticPr fontId="1"/>
  </si>
  <si>
    <t>八潮市</t>
    <phoneticPr fontId="1"/>
  </si>
  <si>
    <t>横瀬町</t>
    <phoneticPr fontId="1"/>
  </si>
  <si>
    <t>吉川市</t>
    <phoneticPr fontId="1"/>
  </si>
  <si>
    <t>吉見町</t>
    <phoneticPr fontId="1"/>
  </si>
  <si>
    <t>寄居町</t>
    <phoneticPr fontId="1"/>
  </si>
  <si>
    <t>嵐山町</t>
    <phoneticPr fontId="1"/>
  </si>
  <si>
    <t>和光市</t>
    <phoneticPr fontId="1"/>
  </si>
  <si>
    <t>蕨市</t>
    <phoneticPr fontId="1"/>
  </si>
  <si>
    <t>市町村名</t>
    <rPh sb="0" eb="3">
      <t>シチョウソン</t>
    </rPh>
    <rPh sb="3" eb="4">
      <t>メイ</t>
    </rPh>
    <phoneticPr fontId="1"/>
  </si>
  <si>
    <t>秩父市</t>
    <rPh sb="0" eb="2">
      <t>チチブ</t>
    </rPh>
    <rPh sb="2" eb="3">
      <t>シ</t>
    </rPh>
    <phoneticPr fontId="1"/>
  </si>
  <si>
    <t>気温観測点</t>
    <rPh sb="0" eb="2">
      <t>キオン</t>
    </rPh>
    <rPh sb="2" eb="5">
      <t>カンソクテン</t>
    </rPh>
    <phoneticPr fontId="1"/>
  </si>
  <si>
    <t>区域区分</t>
    <rPh sb="0" eb="2">
      <t>クイキ</t>
    </rPh>
    <rPh sb="2" eb="4">
      <t>クブン</t>
    </rPh>
    <phoneticPr fontId="1"/>
  </si>
  <si>
    <t>本計算シートの計算条件は以下の通りです。</t>
    <rPh sb="0" eb="1">
      <t>ホン</t>
    </rPh>
    <rPh sb="1" eb="3">
      <t>ケイサン</t>
    </rPh>
    <rPh sb="7" eb="9">
      <t>ケイサン</t>
    </rPh>
    <rPh sb="9" eb="11">
      <t>ジョウケン</t>
    </rPh>
    <rPh sb="12" eb="14">
      <t>イカ</t>
    </rPh>
    <rPh sb="15" eb="16">
      <t>トオ</t>
    </rPh>
    <phoneticPr fontId="1"/>
  </si>
  <si>
    <t>地域区分</t>
    <rPh sb="0" eb="2">
      <t>チイキ</t>
    </rPh>
    <rPh sb="2" eb="4">
      <t>クブン</t>
    </rPh>
    <phoneticPr fontId="1"/>
  </si>
  <si>
    <t>気温データ参照地点</t>
    <rPh sb="0" eb="2">
      <t>キオン</t>
    </rPh>
    <rPh sb="5" eb="7">
      <t>サンショウ</t>
    </rPh>
    <rPh sb="7" eb="9">
      <t>チテン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</si>
  <si>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21"/>
  </si>
  <si>
    <t>事業実施者</t>
    <rPh sb="0" eb="2">
      <t>ジギョウ</t>
    </rPh>
    <rPh sb="2" eb="4">
      <t>ジッシ</t>
    </rPh>
    <rPh sb="4" eb="5">
      <t>シャ</t>
    </rPh>
    <phoneticPr fontId="21"/>
  </si>
  <si>
    <t>名称</t>
    <rPh sb="0" eb="2">
      <t>メイショウ</t>
    </rPh>
    <phoneticPr fontId="21"/>
  </si>
  <si>
    <t>代表者役職名</t>
    <rPh sb="0" eb="3">
      <t>ダイヒョウシャ</t>
    </rPh>
    <rPh sb="3" eb="5">
      <t>ヤクショク</t>
    </rPh>
    <rPh sb="5" eb="6">
      <t>メイ</t>
    </rPh>
    <phoneticPr fontId="2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</si>
  <si>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1"/>
  </si>
  <si>
    <t>産業分類上
の大分類</t>
    <rPh sb="0" eb="2">
      <t>サンギョウ</t>
    </rPh>
    <rPh sb="2" eb="4">
      <t>ブンルイ</t>
    </rPh>
    <rPh sb="4" eb="5">
      <t>ジョウ</t>
    </rPh>
    <rPh sb="7" eb="10">
      <t>ダイブンルイ</t>
    </rPh>
    <phoneticPr fontId="21"/>
  </si>
  <si>
    <t>常時使用する従業員数</t>
    <rPh sb="0" eb="2">
      <t>ジョウジ</t>
    </rPh>
    <rPh sb="2" eb="4">
      <t>シヨウ</t>
    </rPh>
    <rPh sb="6" eb="9">
      <t>ジュウギョウイン</t>
    </rPh>
    <rPh sb="9" eb="10">
      <t>スウ</t>
    </rPh>
    <phoneticPr fontId="21"/>
  </si>
  <si>
    <t>実施場所</t>
    <rPh sb="0" eb="2">
      <t>ジッシ</t>
    </rPh>
    <rPh sb="2" eb="4">
      <t>バショ</t>
    </rPh>
    <phoneticPr fontId="21"/>
  </si>
  <si>
    <t>事業所名称</t>
    <rPh sb="0" eb="3">
      <t>ジギョウショ</t>
    </rPh>
    <rPh sb="3" eb="5">
      <t>メイショウ</t>
    </rPh>
    <phoneticPr fontId="21"/>
  </si>
  <si>
    <t>事業所所在地</t>
    <rPh sb="0" eb="3">
      <t>ジギョウショ</t>
    </rPh>
    <rPh sb="3" eb="6">
      <t>ショザイチ</t>
    </rPh>
    <phoneticPr fontId="21"/>
  </si>
  <si>
    <r>
      <t xml:space="preserve">直近３か年の原油換算
エネルギー使用量
</t>
    </r>
    <r>
      <rPr>
        <sz val="9"/>
        <color indexed="8"/>
        <rFont val="ＭＳ Ｐゴシック"/>
        <family val="3"/>
        <charset val="128"/>
      </rPr>
      <t>（単位：キロリットル）</t>
    </r>
    <rPh sb="0" eb="2">
      <t>チョッキン</t>
    </rPh>
    <rPh sb="4" eb="5">
      <t>ネン</t>
    </rPh>
    <rPh sb="6" eb="8">
      <t>ゲンユ</t>
    </rPh>
    <rPh sb="8" eb="10">
      <t>カンサン</t>
    </rPh>
    <rPh sb="16" eb="18">
      <t>シヨウ</t>
    </rPh>
    <rPh sb="18" eb="19">
      <t>リョウ</t>
    </rPh>
    <rPh sb="21" eb="23">
      <t>タンイ</t>
    </rPh>
    <phoneticPr fontId="21"/>
  </si>
  <si>
    <t>平均</t>
    <rPh sb="0" eb="2">
      <t>ヘイキン</t>
    </rPh>
    <phoneticPr fontId="21"/>
  </si>
  <si>
    <t>連絡先</t>
    <rPh sb="0" eb="3">
      <t>レンラクサキ</t>
    </rPh>
    <phoneticPr fontId="21"/>
  </si>
  <si>
    <t>所属名</t>
    <rPh sb="0" eb="2">
      <t>ショゾク</t>
    </rPh>
    <rPh sb="2" eb="3">
      <t>ナ</t>
    </rPh>
    <phoneticPr fontId="21"/>
  </si>
  <si>
    <t>電話</t>
    <rPh sb="0" eb="2">
      <t>デンワ</t>
    </rPh>
    <phoneticPr fontId="21"/>
  </si>
  <si>
    <t>職　名</t>
    <rPh sb="0" eb="1">
      <t>ショク</t>
    </rPh>
    <rPh sb="2" eb="3">
      <t>ナ</t>
    </rPh>
    <phoneticPr fontId="21"/>
  </si>
  <si>
    <t>ＦＡＸ</t>
    <phoneticPr fontId="21"/>
  </si>
  <si>
    <t>氏　名</t>
    <rPh sb="0" eb="1">
      <t>シ</t>
    </rPh>
    <rPh sb="2" eb="3">
      <t>ナ</t>
    </rPh>
    <phoneticPr fontId="21"/>
  </si>
  <si>
    <t>メール</t>
    <phoneticPr fontId="2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</si>
  <si>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21"/>
  </si>
  <si>
    <t xml:space="preserve">〒
</t>
    <phoneticPr fontId="21"/>
  </si>
  <si>
    <t>ＥＳＣＯ
事業者</t>
    <rPh sb="5" eb="8">
      <t>ジギョウシャ</t>
    </rPh>
    <phoneticPr fontId="21"/>
  </si>
  <si>
    <t>リース
事業者</t>
    <rPh sb="4" eb="7">
      <t>ジギョウシャ</t>
    </rPh>
    <phoneticPr fontId="21"/>
  </si>
  <si>
    <t>２　補助対象事業のうち設備改修に関する契約形態（ESCO形態の場合のみ）</t>
    <rPh sb="2" eb="4">
      <t>ホジョ</t>
    </rPh>
    <rPh sb="4" eb="6">
      <t>タイショウ</t>
    </rPh>
    <rPh sb="6" eb="8">
      <t>ジギョウ</t>
    </rPh>
    <rPh sb="11" eb="13">
      <t>セツビ</t>
    </rPh>
    <rPh sb="13" eb="15">
      <t>カイシュウ</t>
    </rPh>
    <rPh sb="16" eb="17">
      <t>カン</t>
    </rPh>
    <rPh sb="19" eb="21">
      <t>ケイヤク</t>
    </rPh>
    <rPh sb="21" eb="23">
      <t>ケイタイ</t>
    </rPh>
    <rPh sb="28" eb="30">
      <t>ケイタイ</t>
    </rPh>
    <rPh sb="31" eb="33">
      <t>バアイ</t>
    </rPh>
    <phoneticPr fontId="21"/>
  </si>
  <si>
    <t>ギャランティード・セイビングス契約</t>
    <rPh sb="15" eb="17">
      <t>ケイヤク</t>
    </rPh>
    <phoneticPr fontId="21"/>
  </si>
  <si>
    <t>シェアード・セイビングス契約</t>
    <rPh sb="12" eb="14">
      <t>ケイヤク</t>
    </rPh>
    <phoneticPr fontId="21"/>
  </si>
  <si>
    <t>３　事業内容</t>
    <rPh sb="2" eb="4">
      <t>ジギョウ</t>
    </rPh>
    <rPh sb="4" eb="6">
      <t>ナイヨウ</t>
    </rPh>
    <phoneticPr fontId="21"/>
  </si>
  <si>
    <t>事業名</t>
    <rPh sb="0" eb="2">
      <t>ジギョウ</t>
    </rPh>
    <rPh sb="2" eb="3">
      <t>メイ</t>
    </rPh>
    <phoneticPr fontId="21"/>
  </si>
  <si>
    <t>事業概要</t>
    <rPh sb="0" eb="2">
      <t>ジギョウ</t>
    </rPh>
    <rPh sb="2" eb="4">
      <t>ガイヨウ</t>
    </rPh>
    <phoneticPr fontId="21"/>
  </si>
  <si>
    <t>（設備導入の概要などをご記入ください。）</t>
    <rPh sb="1" eb="3">
      <t>セツビ</t>
    </rPh>
    <rPh sb="3" eb="5">
      <t>ドウニュウ</t>
    </rPh>
    <rPh sb="6" eb="8">
      <t>ガイヨウ</t>
    </rPh>
    <rPh sb="12" eb="14">
      <t>キニュウ</t>
    </rPh>
    <phoneticPr fontId="21"/>
  </si>
  <si>
    <t>設備導入前の状況</t>
    <rPh sb="0" eb="2">
      <t>セツビ</t>
    </rPh>
    <rPh sb="2" eb="4">
      <t>ドウニュウ</t>
    </rPh>
    <rPh sb="4" eb="5">
      <t>マエ</t>
    </rPh>
    <rPh sb="6" eb="8">
      <t>ジョウキョウ</t>
    </rPh>
    <phoneticPr fontId="21"/>
  </si>
  <si>
    <t>設備導入後の状況</t>
    <rPh sb="0" eb="2">
      <t>セツビ</t>
    </rPh>
    <rPh sb="2" eb="4">
      <t>ドウニュウ</t>
    </rPh>
    <rPh sb="4" eb="5">
      <t>ゴ</t>
    </rPh>
    <rPh sb="6" eb="8">
      <t>ジョウキョウ</t>
    </rPh>
    <phoneticPr fontId="21"/>
  </si>
  <si>
    <t>導入前</t>
    <rPh sb="0" eb="2">
      <t>ドウニュウ</t>
    </rPh>
    <rPh sb="2" eb="3">
      <t>マエ</t>
    </rPh>
    <phoneticPr fontId="21"/>
  </si>
  <si>
    <t>導入後</t>
    <rPh sb="0" eb="2">
      <t>ドウニュウ</t>
    </rPh>
    <rPh sb="2" eb="3">
      <t>ゴ</t>
    </rPh>
    <phoneticPr fontId="21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</si>
  <si>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排出削減予測量</t>
    </r>
    <rPh sb="3" eb="5">
      <t>ハイシュツ</t>
    </rPh>
    <rPh sb="5" eb="7">
      <t>サクゲン</t>
    </rPh>
    <rPh sb="7" eb="9">
      <t>ヨソク</t>
    </rPh>
    <rPh sb="9" eb="10">
      <t>リョウ</t>
    </rPh>
    <phoneticPr fontId="21"/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</si>
  <si>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/年</t>
    </r>
    <rPh sb="6" eb="7">
      <t>ネン</t>
    </rPh>
    <phoneticPr fontId="21"/>
  </si>
  <si>
    <t>パフォーマンス契約期間</t>
    <rPh sb="7" eb="9">
      <t>ケイヤク</t>
    </rPh>
    <rPh sb="9" eb="11">
      <t>キカン</t>
    </rPh>
    <phoneticPr fontId="21"/>
  </si>
  <si>
    <t>令和</t>
    <rPh sb="0" eb="2">
      <t>レイワ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</si>
  <si>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</si>
  <si>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</si>
  <si>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～</t>
    <phoneticPr fontId="21"/>
  </si>
  <si>
    <t>導入前負荷量</t>
    <rPh sb="0" eb="2">
      <t>ドウニュウ</t>
    </rPh>
    <rPh sb="2" eb="3">
      <t>マエ</t>
    </rPh>
    <rPh sb="3" eb="5">
      <t>フカ</t>
    </rPh>
    <rPh sb="5" eb="6">
      <t>リョウ</t>
    </rPh>
    <phoneticPr fontId="1"/>
  </si>
  <si>
    <t>冷房負荷
量</t>
    <rPh sb="0" eb="2">
      <t>レイボウ</t>
    </rPh>
    <rPh sb="2" eb="4">
      <t>フカ</t>
    </rPh>
    <rPh sb="5" eb="6">
      <t>リョウ</t>
    </rPh>
    <phoneticPr fontId="1"/>
  </si>
  <si>
    <t>暖房負荷
量</t>
    <rPh sb="0" eb="2">
      <t>ダンボウ</t>
    </rPh>
    <rPh sb="2" eb="4">
      <t>フカ</t>
    </rPh>
    <rPh sb="5" eb="6">
      <t>リョウ</t>
    </rPh>
    <phoneticPr fontId="1"/>
  </si>
  <si>
    <t>推定年間冷房負荷量</t>
    <rPh sb="0" eb="2">
      <t>スイテイ</t>
    </rPh>
    <rPh sb="2" eb="4">
      <t>ネンカン</t>
    </rPh>
    <rPh sb="4" eb="6">
      <t>レイボウ</t>
    </rPh>
    <rPh sb="6" eb="8">
      <t>フカ</t>
    </rPh>
    <rPh sb="8" eb="9">
      <t>リョウ</t>
    </rPh>
    <phoneticPr fontId="1"/>
  </si>
  <si>
    <t>推定年間暖房負荷量</t>
    <rPh sb="0" eb="2">
      <t>スイテイ</t>
    </rPh>
    <rPh sb="2" eb="4">
      <t>ネンカン</t>
    </rPh>
    <rPh sb="4" eb="6">
      <t>ダンボウ</t>
    </rPh>
    <rPh sb="6" eb="8">
      <t>フカ</t>
    </rPh>
    <rPh sb="8" eb="9">
      <t>リョウ</t>
    </rPh>
    <phoneticPr fontId="1"/>
  </si>
  <si>
    <t>冷房時消費電力量</t>
    <rPh sb="0" eb="2">
      <t>レイボウ</t>
    </rPh>
    <rPh sb="2" eb="3">
      <t>ジ</t>
    </rPh>
    <rPh sb="3" eb="5">
      <t>ショウヒ</t>
    </rPh>
    <rPh sb="5" eb="7">
      <t>デンリョク</t>
    </rPh>
    <rPh sb="7" eb="8">
      <t>リョウ</t>
    </rPh>
    <phoneticPr fontId="1"/>
  </si>
  <si>
    <t>暖房時消費電力量</t>
    <rPh sb="0" eb="2">
      <t>ダンボウ</t>
    </rPh>
    <rPh sb="2" eb="3">
      <t>ジ</t>
    </rPh>
    <rPh sb="3" eb="5">
      <t>ショウヒ</t>
    </rPh>
    <rPh sb="5" eb="7">
      <t>デンリョク</t>
    </rPh>
    <rPh sb="7" eb="8">
      <t>リョウ</t>
    </rPh>
    <phoneticPr fontId="1"/>
  </si>
  <si>
    <t>空調消費電力量</t>
    <rPh sb="0" eb="2">
      <t>クウチョウ</t>
    </rPh>
    <rPh sb="2" eb="4">
      <t>ショウヒ</t>
    </rPh>
    <rPh sb="4" eb="6">
      <t>デンリョク</t>
    </rPh>
    <rPh sb="6" eb="7">
      <t>リョウ</t>
    </rPh>
    <phoneticPr fontId="1"/>
  </si>
  <si>
    <t>CO２量</t>
    <rPh sb="3" eb="4">
      <t>リョウ</t>
    </rPh>
    <phoneticPr fontId="1"/>
  </si>
  <si>
    <t>⑫年間空調消費電力量</t>
    <rPh sb="1" eb="3">
      <t>ネンカン</t>
    </rPh>
    <rPh sb="3" eb="5">
      <t>クウチョウ</t>
    </rPh>
    <rPh sb="5" eb="7">
      <t>ショウヒ</t>
    </rPh>
    <rPh sb="7" eb="9">
      <t>デンリョク</t>
    </rPh>
    <rPh sb="9" eb="10">
      <t>リョウ</t>
    </rPh>
    <phoneticPr fontId="1"/>
  </si>
  <si>
    <t>⑬年間CO2量</t>
    <rPh sb="1" eb="3">
      <t>ネンカン</t>
    </rPh>
    <rPh sb="6" eb="7">
      <t>ゲンリョウ</t>
    </rPh>
    <phoneticPr fontId="1"/>
  </si>
  <si>
    <t>導入後消費電力量</t>
    <rPh sb="0" eb="2">
      <t>ドウニュウ</t>
    </rPh>
    <rPh sb="2" eb="3">
      <t>ゴ</t>
    </rPh>
    <rPh sb="3" eb="5">
      <t>ショウヒ</t>
    </rPh>
    <rPh sb="5" eb="7">
      <t>デンリョク</t>
    </rPh>
    <rPh sb="7" eb="8">
      <t>リョウ</t>
    </rPh>
    <phoneticPr fontId="1"/>
  </si>
  <si>
    <t>導入後年間CO2量</t>
    <rPh sb="0" eb="2">
      <t>ドウニュウ</t>
    </rPh>
    <rPh sb="2" eb="3">
      <t>ゴ</t>
    </rPh>
    <rPh sb="3" eb="5">
      <t>ネンカン</t>
    </rPh>
    <rPh sb="8" eb="9">
      <t>リョウ</t>
    </rPh>
    <phoneticPr fontId="1"/>
  </si>
  <si>
    <t>業種／
主な業務内容</t>
    <rPh sb="0" eb="2">
      <t>ギョウシュ</t>
    </rPh>
    <rPh sb="4" eb="5">
      <t>オモ</t>
    </rPh>
    <rPh sb="6" eb="8">
      <t>ギョウム</t>
    </rPh>
    <rPh sb="8" eb="10">
      <t>ナイヨウ</t>
    </rPh>
    <phoneticPr fontId="21"/>
  </si>
  <si>
    <t>４　資金計画</t>
    <rPh sb="2" eb="4">
      <t>シキン</t>
    </rPh>
    <rPh sb="4" eb="6">
      <t>ケイカク</t>
    </rPh>
    <phoneticPr fontId="21"/>
  </si>
  <si>
    <t>区　　分</t>
    <rPh sb="0" eb="1">
      <t>ク</t>
    </rPh>
    <rPh sb="3" eb="4">
      <t>フン</t>
    </rPh>
    <phoneticPr fontId="21"/>
  </si>
  <si>
    <t>工事費</t>
    <rPh sb="0" eb="3">
      <t>コウジヒ</t>
    </rPh>
    <phoneticPr fontId="21"/>
  </si>
  <si>
    <t>合計</t>
    <rPh sb="0" eb="2">
      <t>ゴウケイ</t>
    </rPh>
    <phoneticPr fontId="21"/>
  </si>
  <si>
    <t>単価</t>
    <rPh sb="0" eb="2">
      <t>タンカ</t>
    </rPh>
    <phoneticPr fontId="21"/>
  </si>
  <si>
    <t>数量</t>
    <rPh sb="0" eb="2">
      <t>スウリョウ</t>
    </rPh>
    <phoneticPr fontId="21"/>
  </si>
  <si>
    <t>計</t>
    <rPh sb="0" eb="1">
      <t>ケイ</t>
    </rPh>
    <phoneticPr fontId="21"/>
  </si>
  <si>
    <t>補助対象経費</t>
    <rPh sb="0" eb="2">
      <t>ホジョ</t>
    </rPh>
    <rPh sb="2" eb="4">
      <t>タイショウ</t>
    </rPh>
    <rPh sb="4" eb="6">
      <t>ケイヒ</t>
    </rPh>
    <phoneticPr fontId="21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</si>
  <si>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1"/>
  </si>
  <si>
    <t>総事業費</t>
    <rPh sb="0" eb="4">
      <t>ソウジギョウヒ</t>
    </rPh>
    <phoneticPr fontId="21"/>
  </si>
  <si>
    <t>×</t>
    <phoneticPr fontId="21"/>
  </si>
  <si>
    <t>＝</t>
    <phoneticPr fontId="21"/>
  </si>
  <si>
    <t>機器費</t>
    <rPh sb="0" eb="2">
      <t>キキ</t>
    </rPh>
    <rPh sb="2" eb="3">
      <t>ヒ</t>
    </rPh>
    <phoneticPr fontId="21"/>
  </si>
  <si>
    <t>区　分</t>
    <rPh sb="0" eb="1">
      <t>ク</t>
    </rPh>
    <rPh sb="2" eb="3">
      <t>ブン</t>
    </rPh>
    <phoneticPr fontId="21"/>
  </si>
  <si>
    <t>名　称</t>
    <rPh sb="0" eb="1">
      <t>ナ</t>
    </rPh>
    <rPh sb="2" eb="3">
      <t>ショウ</t>
    </rPh>
    <phoneticPr fontId="21"/>
  </si>
  <si>
    <t>工事費</t>
    <rPh sb="0" eb="2">
      <t>コウジ</t>
    </rPh>
    <rPh sb="2" eb="3">
      <t>ヒ</t>
    </rPh>
    <phoneticPr fontId="21"/>
  </si>
  <si>
    <t>日射熱吸収率</t>
    <rPh sb="0" eb="2">
      <t>ニッシャ</t>
    </rPh>
    <rPh sb="2" eb="3">
      <t>ネツ</t>
    </rPh>
    <rPh sb="3" eb="5">
      <t>キュウシュウ</t>
    </rPh>
    <rPh sb="5" eb="6">
      <t>リツ</t>
    </rPh>
    <phoneticPr fontId="1"/>
  </si>
  <si>
    <t>③窓対策による熱貫流率と日射熱吸収率の値</t>
    <rPh sb="1" eb="2">
      <t>マド</t>
    </rPh>
    <rPh sb="2" eb="4">
      <t>タイサク</t>
    </rPh>
    <rPh sb="7" eb="8">
      <t>ネツ</t>
    </rPh>
    <rPh sb="8" eb="10">
      <t>カンリュウ</t>
    </rPh>
    <rPh sb="10" eb="11">
      <t>リツ</t>
    </rPh>
    <rPh sb="12" eb="14">
      <t>ニッシャ</t>
    </rPh>
    <rPh sb="14" eb="15">
      <t>ネツ</t>
    </rPh>
    <rPh sb="15" eb="17">
      <t>キュウシュウ</t>
    </rPh>
    <rPh sb="17" eb="18">
      <t>リツ</t>
    </rPh>
    <rPh sb="19" eb="20">
      <t>アタイ</t>
    </rPh>
    <phoneticPr fontId="1"/>
  </si>
  <si>
    <t>表－７　暑さ対策による窓の熱貫流率と日射熱吸収率の選定表</t>
    <rPh sb="0" eb="1">
      <t>ヒョウ</t>
    </rPh>
    <rPh sb="4" eb="5">
      <t>アツ</t>
    </rPh>
    <rPh sb="6" eb="8">
      <t>タイサク</t>
    </rPh>
    <rPh sb="11" eb="12">
      <t>マド</t>
    </rPh>
    <rPh sb="13" eb="14">
      <t>ネツ</t>
    </rPh>
    <rPh sb="14" eb="16">
      <t>カンリュウ</t>
    </rPh>
    <rPh sb="16" eb="17">
      <t>リツ</t>
    </rPh>
    <rPh sb="18" eb="20">
      <t>ニッシャ</t>
    </rPh>
    <rPh sb="20" eb="21">
      <t>ネツ</t>
    </rPh>
    <rPh sb="21" eb="23">
      <t>キュウシュウ</t>
    </rPh>
    <rPh sb="23" eb="24">
      <t>リツ</t>
    </rPh>
    <rPh sb="25" eb="27">
      <t>センテイ</t>
    </rPh>
    <rPh sb="27" eb="28">
      <t>ヒョウ</t>
    </rPh>
    <phoneticPr fontId="1"/>
  </si>
  <si>
    <t>表－８　暑さ対策による窓の熱貫流率と日射熱吸収率の入力表</t>
    <rPh sb="0" eb="1">
      <t>ヒョウ</t>
    </rPh>
    <rPh sb="4" eb="5">
      <t>アツ</t>
    </rPh>
    <rPh sb="6" eb="8">
      <t>タイサク</t>
    </rPh>
    <rPh sb="18" eb="20">
      <t>ニッシャ</t>
    </rPh>
    <rPh sb="20" eb="21">
      <t>ネツ</t>
    </rPh>
    <rPh sb="21" eb="23">
      <t>キュウシュウ</t>
    </rPh>
    <rPh sb="23" eb="24">
      <t>リツ</t>
    </rPh>
    <rPh sb="25" eb="27">
      <t>ニュウリョク</t>
    </rPh>
    <phoneticPr fontId="1"/>
  </si>
  <si>
    <t>表－５　暑さ対策による外壁の熱貫流率入力表</t>
    <rPh sb="0" eb="1">
      <t>ヒョウ</t>
    </rPh>
    <rPh sb="4" eb="5">
      <t>アツ</t>
    </rPh>
    <rPh sb="6" eb="8">
      <t>タイサク</t>
    </rPh>
    <rPh sb="11" eb="13">
      <t>ガイヘキ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</si>
  <si>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t>表－３　暑さ対策による屋根の熱貫流率入力表</t>
    <rPh sb="0" eb="1">
      <t>ヒョウ</t>
    </rPh>
    <rPh sb="4" eb="5">
      <t>アツ</t>
    </rPh>
    <rPh sb="6" eb="8">
      <t>タイサク</t>
    </rPh>
    <rPh sb="11" eb="13">
      <t>ヤネ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</si>
  <si>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t>表－４　暑さ対策による屋根の日射熱吸収率入力表</t>
    <rPh sb="0" eb="1">
      <t>ヒョウ</t>
    </rPh>
    <rPh sb="4" eb="5">
      <t>アツ</t>
    </rPh>
    <rPh sb="6" eb="8">
      <t>タイサク</t>
    </rPh>
    <rPh sb="11" eb="13">
      <t>ヤネ</t>
    </rPh>
    <rPh sb="14" eb="16">
      <t>ニッシャ</t>
    </rPh>
    <rPh sb="16" eb="17">
      <t>ネツ</t>
    </rPh>
    <rPh sb="17" eb="19">
      <t>キュウシュウ</t>
    </rPh>
    <rPh sb="19" eb="20">
      <t>リツ</t>
    </rPh>
    <rPh sb="20" eb="22">
      <t>ニュウリョク</t>
    </rPh>
    <rPh sb="22" eb="23">
      <t>ヒョウ</t>
    </rPh>
    <phoneticPr fontId="1"/>
  </si>
  <si>
    <t>表－６　暑さ対策による外壁の熱貫流率入力表</t>
    <rPh sb="0" eb="1">
      <t>ヒョウ</t>
    </rPh>
    <rPh sb="4" eb="5">
      <t>アツ</t>
    </rPh>
    <rPh sb="6" eb="8">
      <t>タイサク</t>
    </rPh>
    <rPh sb="11" eb="13">
      <t>ガイヘキ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</si>
  <si>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t>対策後の熱性能（熱貫流率、日射熱吸収率）</t>
    <rPh sb="0" eb="2">
      <t>タイサク</t>
    </rPh>
    <rPh sb="2" eb="3">
      <t>ゴ</t>
    </rPh>
    <rPh sb="4" eb="5">
      <t>ネツ</t>
    </rPh>
    <rPh sb="5" eb="7">
      <t>セイノウ</t>
    </rPh>
    <rPh sb="8" eb="9">
      <t>ネツ</t>
    </rPh>
    <rPh sb="9" eb="11">
      <t>カンリュウ</t>
    </rPh>
    <rPh sb="11" eb="12">
      <t>リツ</t>
    </rPh>
    <rPh sb="13" eb="15">
      <t>ニッシャ</t>
    </rPh>
    <rPh sb="15" eb="16">
      <t>ネツ</t>
    </rPh>
    <rPh sb="16" eb="18">
      <t>キュウシュウ</t>
    </rPh>
    <rPh sb="18" eb="19">
      <t>リツ</t>
    </rPh>
    <phoneticPr fontId="1"/>
  </si>
  <si>
    <t>日射熱吸収率が”0.3”に変更する場合</t>
    <rPh sb="0" eb="2">
      <t>ニッシャ</t>
    </rPh>
    <rPh sb="2" eb="3">
      <t>ネツ</t>
    </rPh>
    <rPh sb="3" eb="5">
      <t>キュウシュウ</t>
    </rPh>
    <rPh sb="5" eb="6">
      <t>リツ</t>
    </rPh>
    <rPh sb="13" eb="15">
      <t>ヘンコウ</t>
    </rPh>
    <rPh sb="17" eb="19">
      <t>バアイ</t>
    </rPh>
    <phoneticPr fontId="1"/>
  </si>
  <si>
    <t>窓ガラス日射熱吸収率</t>
    <rPh sb="0" eb="1">
      <t>マド</t>
    </rPh>
    <rPh sb="4" eb="6">
      <t>ニッシャ</t>
    </rPh>
    <rPh sb="6" eb="7">
      <t>ネツ</t>
    </rPh>
    <rPh sb="7" eb="9">
      <t>キュウシュウ</t>
    </rPh>
    <rPh sb="9" eb="10">
      <t>リツ</t>
    </rPh>
    <phoneticPr fontId="1"/>
  </si>
  <si>
    <t>ガラスの取得日射量補正係数(fc)</t>
    <rPh sb="4" eb="6">
      <t>シュトク</t>
    </rPh>
    <rPh sb="6" eb="8">
      <t>ニッシャ</t>
    </rPh>
    <rPh sb="8" eb="9">
      <t>リョウ</t>
    </rPh>
    <rPh sb="9" eb="11">
      <t>ホセイ</t>
    </rPh>
    <rPh sb="11" eb="13">
      <t>ケイスウ</t>
    </rPh>
    <phoneticPr fontId="1"/>
  </si>
  <si>
    <t>補正係数fc</t>
    <rPh sb="0" eb="2">
      <t>ホセイ</t>
    </rPh>
    <rPh sb="2" eb="4">
      <t>ケイスウ</t>
    </rPh>
    <phoneticPr fontId="1"/>
  </si>
  <si>
    <t>対策前の窓ガラスの諸性能は、3mm透明</t>
    <rPh sb="0" eb="2">
      <t>タイサク</t>
    </rPh>
    <rPh sb="2" eb="3">
      <t>マエ</t>
    </rPh>
    <rPh sb="4" eb="5">
      <t>マド</t>
    </rPh>
    <rPh sb="9" eb="10">
      <t>ショ</t>
    </rPh>
    <rPh sb="10" eb="12">
      <t>セイノウ</t>
    </rPh>
    <rPh sb="17" eb="19">
      <t>トウメイ</t>
    </rPh>
    <phoneticPr fontId="1"/>
  </si>
  <si>
    <t>ガラスとする。（建築研究所　モデル建物法におけるガラス種類の選択肢よりP36引用）</t>
    <rPh sb="8" eb="10">
      <t>ケンチク</t>
    </rPh>
    <rPh sb="10" eb="13">
      <t>ケンキュウショ</t>
    </rPh>
    <rPh sb="17" eb="19">
      <t>タテモノ</t>
    </rPh>
    <rPh sb="19" eb="20">
      <t>ホウ</t>
    </rPh>
    <rPh sb="27" eb="29">
      <t>シュルイ</t>
    </rPh>
    <rPh sb="30" eb="33">
      <t>センタクシ</t>
    </rPh>
    <rPh sb="38" eb="40">
      <t>インヨウ</t>
    </rPh>
    <phoneticPr fontId="1"/>
  </si>
  <si>
    <t>②複層(空気層6mm)Low-E(遮蔽)6t＋透明6t</t>
    <rPh sb="1" eb="3">
      <t>フクソウ</t>
    </rPh>
    <rPh sb="4" eb="6">
      <t>クウキ</t>
    </rPh>
    <rPh sb="6" eb="7">
      <t>ソウ</t>
    </rPh>
    <rPh sb="17" eb="19">
      <t>シャヘイ</t>
    </rPh>
    <rPh sb="23" eb="25">
      <t>トウメイ</t>
    </rPh>
    <phoneticPr fontId="1"/>
  </si>
  <si>
    <t>①単層高性能熱線反射(6t)</t>
    <rPh sb="1" eb="3">
      <t>タンソウ</t>
    </rPh>
    <rPh sb="3" eb="6">
      <t>コウセイノウ</t>
    </rPh>
    <rPh sb="6" eb="7">
      <t>ネツ</t>
    </rPh>
    <rPh sb="7" eb="8">
      <t>セン</t>
    </rPh>
    <rPh sb="8" eb="10">
      <t>ハンシャ</t>
    </rPh>
    <phoneticPr fontId="1"/>
  </si>
  <si>
    <t>③複層(空気層12mm)Low-E(遮蔽)6t＋透明6t</t>
    <rPh sb="1" eb="3">
      <t>フクソウ</t>
    </rPh>
    <rPh sb="4" eb="6">
      <t>クウキ</t>
    </rPh>
    <rPh sb="6" eb="7">
      <t>ソウ</t>
    </rPh>
    <rPh sb="18" eb="20">
      <t>シャヘイ</t>
    </rPh>
    <rPh sb="24" eb="26">
      <t>トウメイ</t>
    </rPh>
    <phoneticPr fontId="1"/>
  </si>
  <si>
    <t>熱貫流率が”3”に、日射熱吸収率が0.8に</t>
    <rPh sb="0" eb="1">
      <t>ネツ</t>
    </rPh>
    <rPh sb="1" eb="3">
      <t>カンリュウ</t>
    </rPh>
    <rPh sb="3" eb="4">
      <t>リツ</t>
    </rPh>
    <rPh sb="10" eb="12">
      <t>ニッシャ</t>
    </rPh>
    <rPh sb="12" eb="13">
      <t>ネツ</t>
    </rPh>
    <rPh sb="13" eb="15">
      <t>キュウシュウ</t>
    </rPh>
    <rPh sb="15" eb="16">
      <t>リツ</t>
    </rPh>
    <phoneticPr fontId="1"/>
  </si>
  <si>
    <t>※施工設備等をリースで調達する場合のみ記載してください。</t>
    <rPh sb="1" eb="3">
      <t>セコウ</t>
    </rPh>
    <rPh sb="3" eb="5">
      <t>セツビ</t>
    </rPh>
    <rPh sb="5" eb="6">
      <t>トウ</t>
    </rPh>
    <rPh sb="11" eb="13">
      <t>チョウタツ</t>
    </rPh>
    <rPh sb="15" eb="17">
      <t>バアイ</t>
    </rPh>
    <rPh sb="19" eb="21">
      <t>キサイ</t>
    </rPh>
    <phoneticPr fontId="21"/>
  </si>
  <si>
    <t>※施工設備等をＥＳＣＯで調達する場合のみ記載してください。</t>
    <rPh sb="1" eb="3">
      <t>セコウ</t>
    </rPh>
    <rPh sb="3" eb="5">
      <t>セツビ</t>
    </rPh>
    <rPh sb="5" eb="6">
      <t>トウ</t>
    </rPh>
    <rPh sb="12" eb="14">
      <t>チョウタツ</t>
    </rPh>
    <rPh sb="16" eb="18">
      <t>バアイ</t>
    </rPh>
    <rPh sb="20" eb="22">
      <t>キサイ</t>
    </rPh>
    <phoneticPr fontId="21"/>
  </si>
  <si>
    <t>⑪＝
⑦÷⑨</t>
    <phoneticPr fontId="1"/>
  </si>
  <si>
    <t>⑩＝
⑥÷⑧</t>
    <phoneticPr fontId="1"/>
  </si>
  <si>
    <t>GJ</t>
    <phoneticPr fontId="21"/>
  </si>
  <si>
    <t>kL/GJ</t>
    <phoneticPr fontId="21"/>
  </si>
  <si>
    <t>kL</t>
    <phoneticPr fontId="21"/>
  </si>
  <si>
    <t>GJ/kL</t>
    <phoneticPr fontId="21"/>
  </si>
  <si>
    <t>t</t>
    <phoneticPr fontId="21"/>
  </si>
  <si>
    <t>GJ/t</t>
    <phoneticPr fontId="21"/>
  </si>
  <si>
    <t>平成２９年度</t>
    <rPh sb="0" eb="2">
      <t>ヘイセイ</t>
    </rPh>
    <rPh sb="4" eb="6">
      <t>ネンド</t>
    </rPh>
    <phoneticPr fontId="21"/>
  </si>
  <si>
    <t>平成３０年度</t>
    <rPh sb="0" eb="2">
      <t>ヘイセイ</t>
    </rPh>
    <rPh sb="4" eb="6">
      <t>ネンド</t>
    </rPh>
    <phoneticPr fontId="21"/>
  </si>
  <si>
    <t>（単位：円）</t>
    <rPh sb="1" eb="3">
      <t>タンイ</t>
    </rPh>
    <rPh sb="4" eb="5">
      <t>エン</t>
    </rPh>
    <phoneticPr fontId="21"/>
  </si>
  <si>
    <t>設備費・材料費</t>
    <rPh sb="0" eb="2">
      <t>セツビ</t>
    </rPh>
    <rPh sb="2" eb="3">
      <t>ヒ</t>
    </rPh>
    <rPh sb="4" eb="7">
      <t>ザイリョウヒ</t>
    </rPh>
    <phoneticPr fontId="21"/>
  </si>
  <si>
    <t>適合基準の確認</t>
    <rPh sb="0" eb="2">
      <t>テキゴウ</t>
    </rPh>
    <rPh sb="2" eb="4">
      <t>キジュン</t>
    </rPh>
    <rPh sb="5" eb="7">
      <t>カクニン</t>
    </rPh>
    <phoneticPr fontId="1"/>
  </si>
  <si>
    <t>日本産業規格(JIS)</t>
    <rPh sb="0" eb="2">
      <t>ニホン</t>
    </rPh>
    <rPh sb="2" eb="4">
      <t>サンギョウ</t>
    </rPh>
    <rPh sb="4" eb="6">
      <t>キカク</t>
    </rPh>
    <phoneticPr fontId="1"/>
  </si>
  <si>
    <t>環境省の環境技術実証事業(ETV)</t>
    <rPh sb="0" eb="2">
      <t>カンキョウ</t>
    </rPh>
    <rPh sb="2" eb="3">
      <t>ショウ</t>
    </rPh>
    <rPh sb="4" eb="6">
      <t>カンキョウ</t>
    </rPh>
    <rPh sb="6" eb="8">
      <t>ギジュツ</t>
    </rPh>
    <rPh sb="8" eb="10">
      <t>ジッショウ</t>
    </rPh>
    <rPh sb="10" eb="12">
      <t>ジギョウ</t>
    </rPh>
    <phoneticPr fontId="1"/>
  </si>
  <si>
    <t>国立研究開発法人建築研究所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ケンチク</t>
    </rPh>
    <rPh sb="10" eb="13">
      <t>ケンキュウショ</t>
    </rPh>
    <phoneticPr fontId="1"/>
  </si>
  <si>
    <t>年</t>
    <rPh sb="0" eb="1">
      <t>ネン</t>
    </rPh>
    <phoneticPr fontId="1"/>
  </si>
  <si>
    <t>規格名、実証番号</t>
    <rPh sb="0" eb="2">
      <t>キカク</t>
    </rPh>
    <rPh sb="2" eb="3">
      <t>メイ</t>
    </rPh>
    <rPh sb="4" eb="6">
      <t>ジッショウ</t>
    </rPh>
    <rPh sb="6" eb="8">
      <t>バンゴウ</t>
    </rPh>
    <phoneticPr fontId="1"/>
  </si>
  <si>
    <t>数値</t>
    <rPh sb="0" eb="2">
      <t>スウチ</t>
    </rPh>
    <phoneticPr fontId="1"/>
  </si>
  <si>
    <t>区分</t>
    <rPh sb="0" eb="2">
      <t>クブン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</si>
  <si>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"/>
  </si>
  <si>
    <t>日射熱吸収率</t>
    <rPh sb="0" eb="2">
      <t>ニッシャ</t>
    </rPh>
    <rPh sb="2" eb="3">
      <t>ネツ</t>
    </rPh>
    <rPh sb="3" eb="5">
      <t>キュウシュウ</t>
    </rPh>
    <rPh sb="5" eb="6">
      <t>リツ</t>
    </rPh>
    <phoneticPr fontId="1"/>
  </si>
  <si>
    <t>日射熱取得率</t>
    <rPh sb="0" eb="2">
      <t>ニッシャ</t>
    </rPh>
    <rPh sb="2" eb="3">
      <t>ネツ</t>
    </rPh>
    <rPh sb="3" eb="6">
      <t>シュトクリツ</t>
    </rPh>
    <phoneticPr fontId="1"/>
  </si>
  <si>
    <t>選択してください</t>
    <rPh sb="0" eb="2">
      <t>センタク</t>
    </rPh>
    <phoneticPr fontId="1"/>
  </si>
  <si>
    <t>規格</t>
    <rPh sb="0" eb="2">
      <t>キカク</t>
    </rPh>
    <phoneticPr fontId="1"/>
  </si>
  <si>
    <t>該当</t>
    <rPh sb="0" eb="2">
      <t>ガイトウ</t>
    </rPh>
    <phoneticPr fontId="1"/>
  </si>
  <si>
    <r>
      <rPr>
        <b/>
        <u/>
        <sz val="14"/>
        <color theme="1"/>
        <rFont val="ＭＳ Ｐゴシック"/>
        <family val="3"/>
        <charset val="128"/>
      </rPr>
      <t>暑さ対策入力シート及び計算結果シート</t>
    </r>
    <rPh sb="0" eb="1">
      <t>アツ</t>
    </rPh>
    <rPh sb="2" eb="4">
      <t>タイサク</t>
    </rPh>
    <rPh sb="4" eb="6">
      <t>ニュウリョク</t>
    </rPh>
    <rPh sb="9" eb="10">
      <t>オヨ</t>
    </rPh>
    <rPh sb="11" eb="13">
      <t>ケイサン</t>
    </rPh>
    <rPh sb="13" eb="15">
      <t>ケッカ</t>
    </rPh>
    <phoneticPr fontId="1"/>
  </si>
  <si>
    <r>
      <rPr>
        <sz val="11"/>
        <rFont val="ＭＳ Ｐゴシック"/>
        <family val="3"/>
        <charset val="128"/>
      </rPr>
      <t>セル内に必要事項を記入します。セル枠線外には記入できません。注意事項に留意して作成してください。</t>
    </r>
    <rPh sb="2" eb="3">
      <t>ナイ</t>
    </rPh>
    <rPh sb="4" eb="6">
      <t>ヒツヨウ</t>
    </rPh>
    <rPh sb="6" eb="8">
      <t>ジコウ</t>
    </rPh>
    <rPh sb="9" eb="11">
      <t>キニュウ</t>
    </rPh>
    <rPh sb="17" eb="18">
      <t>ワク</t>
    </rPh>
    <rPh sb="18" eb="19">
      <t>セン</t>
    </rPh>
    <rPh sb="19" eb="20">
      <t>ガイ</t>
    </rPh>
    <rPh sb="22" eb="24">
      <t>キニュウ</t>
    </rPh>
    <rPh sb="30" eb="32">
      <t>チュウイ</t>
    </rPh>
    <rPh sb="32" eb="34">
      <t>ジコウ</t>
    </rPh>
    <rPh sb="35" eb="37">
      <t>リュウイ</t>
    </rPh>
    <rPh sb="39" eb="41">
      <t>サクセイ</t>
    </rPh>
    <phoneticPr fontId="1"/>
  </si>
  <si>
    <r>
      <rPr>
        <sz val="11"/>
        <rFont val="ＭＳ Ｐゴシック"/>
        <family val="3"/>
        <charset val="128"/>
      </rPr>
      <t>計算結果は「計算結果シート」に表れます。</t>
    </r>
    <rPh sb="0" eb="2">
      <t>ケイサン</t>
    </rPh>
    <rPh sb="2" eb="4">
      <t>ケッカ</t>
    </rPh>
    <rPh sb="6" eb="8">
      <t>ケイサン</t>
    </rPh>
    <rPh sb="8" eb="10">
      <t>ケッカ</t>
    </rPh>
    <rPh sb="15" eb="16">
      <t>アラワ</t>
    </rPh>
    <phoneticPr fontId="1"/>
  </si>
  <si>
    <r>
      <rPr>
        <b/>
        <sz val="14"/>
        <color theme="1"/>
        <rFont val="ＭＳ Ｐゴシック"/>
        <family val="3"/>
        <charset val="128"/>
      </rPr>
      <t>Ⅰ．事業所概要</t>
    </r>
    <rPh sb="2" eb="4">
      <t>ジギョウ</t>
    </rPh>
    <rPh sb="4" eb="5">
      <t>ショ</t>
    </rPh>
    <rPh sb="5" eb="7">
      <t>ガイヨウ</t>
    </rPh>
    <phoneticPr fontId="1"/>
  </si>
  <si>
    <r>
      <rPr>
        <sz val="11"/>
        <rFont val="ＭＳ Ｐゴシック"/>
        <family val="3"/>
        <charset val="128"/>
      </rPr>
      <t>作成日</t>
    </r>
    <rPh sb="0" eb="2">
      <t>サクセイ</t>
    </rPh>
    <rPh sb="2" eb="3">
      <t>イリヒ</t>
    </rPh>
    <phoneticPr fontId="1"/>
  </si>
  <si>
    <r>
      <rPr>
        <b/>
        <sz val="11"/>
        <rFont val="ＭＳ Ｐゴシック"/>
        <family val="3"/>
        <charset val="128"/>
      </rPr>
      <t>対策事業名</t>
    </r>
    <rPh sb="0" eb="2">
      <t>タイサク</t>
    </rPh>
    <rPh sb="2" eb="4">
      <t>ジギョウ</t>
    </rPh>
    <rPh sb="4" eb="5">
      <t>メイ</t>
    </rPh>
    <phoneticPr fontId="1"/>
  </si>
  <si>
    <r>
      <rPr>
        <b/>
        <sz val="11"/>
        <rFont val="ＭＳ Ｐゴシック"/>
        <family val="3"/>
        <charset val="128"/>
      </rPr>
      <t>設置工事場所</t>
    </r>
    <rPh sb="0" eb="2">
      <t>セッチ</t>
    </rPh>
    <rPh sb="2" eb="4">
      <t>コウジ</t>
    </rPh>
    <rPh sb="4" eb="6">
      <t>バショ</t>
    </rPh>
    <phoneticPr fontId="1"/>
  </si>
  <si>
    <r>
      <rPr>
        <sz val="11"/>
        <rFont val="ＭＳ Ｐゴシック"/>
        <family val="3"/>
        <charset val="128"/>
      </rPr>
      <t>埼玉県</t>
    </r>
    <rPh sb="0" eb="3">
      <t>サイタマケン</t>
    </rPh>
    <phoneticPr fontId="1"/>
  </si>
  <si>
    <r>
      <rPr>
        <b/>
        <sz val="11"/>
        <rFont val="ＭＳ Ｐゴシック"/>
        <family val="3"/>
        <charset val="128"/>
      </rPr>
      <t>対象の用途</t>
    </r>
    <rPh sb="0" eb="2">
      <t>タイショウ</t>
    </rPh>
    <rPh sb="3" eb="5">
      <t>ヨウト</t>
    </rPh>
    <phoneticPr fontId="1"/>
  </si>
  <si>
    <r>
      <rPr>
        <b/>
        <sz val="11"/>
        <rFont val="ＭＳ Ｐゴシック"/>
        <family val="3"/>
        <charset val="128"/>
      </rPr>
      <t>事業名</t>
    </r>
    <rPh sb="0" eb="2">
      <t>ジギョウ</t>
    </rPh>
    <rPh sb="2" eb="3">
      <t>メイ</t>
    </rPh>
    <phoneticPr fontId="1"/>
  </si>
  <si>
    <r>
      <rPr>
        <b/>
        <sz val="11"/>
        <rFont val="ＭＳ Ｐゴシック"/>
        <family val="3"/>
        <charset val="128"/>
      </rPr>
      <t>施工事業者名</t>
    </r>
    <rPh sb="0" eb="2">
      <t>セコウ</t>
    </rPh>
    <rPh sb="2" eb="4">
      <t>ジギョウ</t>
    </rPh>
    <rPh sb="4" eb="5">
      <t>シャ</t>
    </rPh>
    <rPh sb="5" eb="6">
      <t>メイ</t>
    </rPh>
    <phoneticPr fontId="1"/>
  </si>
  <si>
    <r>
      <rPr>
        <b/>
        <sz val="11"/>
        <color theme="1"/>
        <rFont val="ＭＳ Ｐゴシック"/>
        <family val="3"/>
        <charset val="128"/>
      </rPr>
      <t>当該建物の年間消費電力</t>
    </r>
    <rPh sb="0" eb="2">
      <t>トウガイ</t>
    </rPh>
    <rPh sb="2" eb="4">
      <t>タテモノ</t>
    </rPh>
    <rPh sb="5" eb="7">
      <t>ネンカン</t>
    </rPh>
    <rPh sb="7" eb="9">
      <t>ショウヒ</t>
    </rPh>
    <rPh sb="9" eb="11">
      <t>デンリョク</t>
    </rPh>
    <phoneticPr fontId="1"/>
  </si>
  <si>
    <r>
      <rPr>
        <sz val="11"/>
        <color theme="1"/>
        <rFont val="ＭＳ Ｐゴシック"/>
        <family val="2"/>
      </rPr>
      <t>１年間の電気メーターの積算値（電力会社の伝票の１年分の</t>
    </r>
    <r>
      <rPr>
        <sz val="11"/>
        <color theme="1"/>
        <rFont val="Arial"/>
        <family val="2"/>
      </rPr>
      <t>kWh</t>
    </r>
    <r>
      <rPr>
        <sz val="11"/>
        <color theme="1"/>
        <rFont val="ＭＳ Ｐゴシック"/>
        <family val="2"/>
      </rPr>
      <t>の値）</t>
    </r>
    <rPh sb="1" eb="3">
      <t>ネンカン</t>
    </rPh>
    <rPh sb="4" eb="6">
      <t>デンキ</t>
    </rPh>
    <rPh sb="11" eb="13">
      <t>セキサン</t>
    </rPh>
    <rPh sb="13" eb="14">
      <t>アタイ</t>
    </rPh>
    <rPh sb="15" eb="17">
      <t>デンリョク</t>
    </rPh>
    <rPh sb="17" eb="19">
      <t>カイシャ</t>
    </rPh>
    <rPh sb="20" eb="22">
      <t>デンピョウ</t>
    </rPh>
    <rPh sb="24" eb="26">
      <t>ネンブン</t>
    </rPh>
    <rPh sb="31" eb="32">
      <t>アタイ</t>
    </rPh>
    <phoneticPr fontId="1"/>
  </si>
  <si>
    <r>
      <rPr>
        <sz val="11"/>
        <color theme="1"/>
        <rFont val="ＭＳ Ｐゴシック"/>
        <family val="2"/>
      </rPr>
      <t>年間消費電力</t>
    </r>
    <rPh sb="0" eb="2">
      <t>ネンカン</t>
    </rPh>
    <rPh sb="2" eb="4">
      <t>ショウヒ</t>
    </rPh>
    <rPh sb="4" eb="6">
      <t>デンリョク</t>
    </rPh>
    <phoneticPr fontId="1"/>
  </si>
  <si>
    <r>
      <t>kWh/</t>
    </r>
    <r>
      <rPr>
        <sz val="11"/>
        <color theme="1"/>
        <rFont val="ＭＳ Ｐゴシック"/>
        <family val="2"/>
      </rPr>
      <t>年</t>
    </r>
    <rPh sb="4" eb="5">
      <t>ネン</t>
    </rPh>
    <phoneticPr fontId="1"/>
  </si>
  <si>
    <r>
      <rPr>
        <b/>
        <sz val="11"/>
        <color theme="1"/>
        <rFont val="ＭＳ Ｐゴシック"/>
        <family val="3"/>
        <charset val="128"/>
      </rPr>
      <t>既存空調設備の冷熱源の</t>
    </r>
    <r>
      <rPr>
        <b/>
        <sz val="11"/>
        <color theme="1"/>
        <rFont val="Arial"/>
        <family val="2"/>
      </rPr>
      <t>COP</t>
    </r>
    <r>
      <rPr>
        <b/>
        <sz val="11"/>
        <color theme="1"/>
        <rFont val="ＭＳ Ｐゴシック"/>
        <family val="3"/>
        <charset val="128"/>
      </rPr>
      <t>（成績係数）</t>
    </r>
    <rPh sb="0" eb="2">
      <t>キゾン</t>
    </rPh>
    <rPh sb="2" eb="4">
      <t>クウチョウ</t>
    </rPh>
    <rPh sb="4" eb="6">
      <t>セツビ</t>
    </rPh>
    <rPh sb="7" eb="8">
      <t>レイ</t>
    </rPh>
    <rPh sb="8" eb="10">
      <t>ネツゲン</t>
    </rPh>
    <rPh sb="15" eb="17">
      <t>セイセキ</t>
    </rPh>
    <rPh sb="17" eb="19">
      <t>ケイスウ</t>
    </rPh>
    <phoneticPr fontId="1"/>
  </si>
  <si>
    <r>
      <rPr>
        <sz val="11"/>
        <color theme="1"/>
        <rFont val="ＭＳ Ｐゴシック"/>
        <family val="2"/>
      </rPr>
      <t>熱量効果計算における、既存冷熱源の</t>
    </r>
    <r>
      <rPr>
        <sz val="11"/>
        <color theme="1"/>
        <rFont val="Arial"/>
        <family val="2"/>
      </rPr>
      <t>COP</t>
    </r>
    <r>
      <rPr>
        <sz val="11"/>
        <color theme="1"/>
        <rFont val="ＭＳ Ｐゴシック"/>
        <family val="2"/>
      </rPr>
      <t>値は以下の一定値を使用する。</t>
    </r>
    <rPh sb="0" eb="2">
      <t>ネツリョウ</t>
    </rPh>
    <rPh sb="2" eb="4">
      <t>コウカ</t>
    </rPh>
    <rPh sb="4" eb="6">
      <t>ケイサン</t>
    </rPh>
    <rPh sb="11" eb="13">
      <t>キゾン</t>
    </rPh>
    <rPh sb="13" eb="14">
      <t>レイ</t>
    </rPh>
    <rPh sb="14" eb="16">
      <t>ネツゲン</t>
    </rPh>
    <rPh sb="20" eb="21">
      <t>チ</t>
    </rPh>
    <rPh sb="22" eb="24">
      <t>イカ</t>
    </rPh>
    <rPh sb="25" eb="27">
      <t>イッテイ</t>
    </rPh>
    <rPh sb="27" eb="28">
      <t>チ</t>
    </rPh>
    <rPh sb="29" eb="31">
      <t>シヨウ</t>
    </rPh>
    <phoneticPr fontId="1"/>
  </si>
  <si>
    <r>
      <rPr>
        <sz val="11"/>
        <rFont val="ＭＳ Ｐゴシック"/>
        <family val="3"/>
        <charset val="128"/>
      </rPr>
      <t>本ファイルの効果計算ではＣＯＰ値の変更はできない。</t>
    </r>
    <rPh sb="0" eb="1">
      <t>ホン</t>
    </rPh>
    <rPh sb="6" eb="8">
      <t>コウカ</t>
    </rPh>
    <rPh sb="8" eb="10">
      <t>ケイサン</t>
    </rPh>
    <rPh sb="15" eb="16">
      <t>チ</t>
    </rPh>
    <rPh sb="17" eb="19">
      <t>ヘンコウ</t>
    </rPh>
    <phoneticPr fontId="1"/>
  </si>
  <si>
    <r>
      <rPr>
        <sz val="11"/>
        <color theme="1"/>
        <rFont val="ＭＳ Ｐゴシック"/>
        <family val="2"/>
      </rPr>
      <t>冷房用</t>
    </r>
    <r>
      <rPr>
        <sz val="11"/>
        <color theme="1"/>
        <rFont val="Arial"/>
        <family val="2"/>
      </rPr>
      <t>COP</t>
    </r>
    <rPh sb="0" eb="2">
      <t>レイボウ</t>
    </rPh>
    <rPh sb="2" eb="3">
      <t>ヨウ</t>
    </rPh>
    <phoneticPr fontId="1"/>
  </si>
  <si>
    <r>
      <rPr>
        <sz val="11"/>
        <color theme="1"/>
        <rFont val="ＭＳ Ｐゴシック"/>
        <family val="2"/>
      </rPr>
      <t>暖房用</t>
    </r>
    <r>
      <rPr>
        <sz val="11"/>
        <color theme="1"/>
        <rFont val="Arial"/>
        <family val="2"/>
      </rPr>
      <t>COP</t>
    </r>
    <rPh sb="0" eb="3">
      <t>ダンボウヨウ</t>
    </rPh>
    <phoneticPr fontId="1"/>
  </si>
  <si>
    <r>
      <rPr>
        <b/>
        <sz val="11"/>
        <color theme="1"/>
        <rFont val="ＭＳ Ｐゴシック"/>
        <family val="3"/>
        <charset val="128"/>
      </rPr>
      <t>当該施設の操業・営業時間</t>
    </r>
    <rPh sb="0" eb="2">
      <t>トウガイ</t>
    </rPh>
    <rPh sb="2" eb="4">
      <t>シセツ</t>
    </rPh>
    <rPh sb="5" eb="7">
      <t>ソウギョウ</t>
    </rPh>
    <rPh sb="8" eb="10">
      <t>エイギョウ</t>
    </rPh>
    <rPh sb="10" eb="12">
      <t>ジカン</t>
    </rPh>
    <phoneticPr fontId="1"/>
  </si>
  <si>
    <r>
      <rPr>
        <sz val="11"/>
        <color theme="1"/>
        <rFont val="ＭＳ Ｐゴシック"/>
        <family val="2"/>
      </rPr>
      <t>月の平均営業・操業日数</t>
    </r>
    <rPh sb="0" eb="1">
      <t>ツキ</t>
    </rPh>
    <rPh sb="2" eb="4">
      <t>ヘイキン</t>
    </rPh>
    <rPh sb="4" eb="6">
      <t>エイギョウ</t>
    </rPh>
    <rPh sb="7" eb="9">
      <t>ソウギョウ</t>
    </rPh>
    <rPh sb="9" eb="11">
      <t>ニッスウ</t>
    </rPh>
    <phoneticPr fontId="1"/>
  </si>
  <si>
    <r>
      <rPr>
        <sz val="11"/>
        <color theme="1"/>
        <rFont val="ＭＳ Ｐゴシック"/>
        <family val="2"/>
      </rPr>
      <t>日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2"/>
      </rPr>
      <t>月</t>
    </r>
    <rPh sb="0" eb="1">
      <t>ヒ</t>
    </rPh>
    <rPh sb="2" eb="3">
      <t>ツキ</t>
    </rPh>
    <phoneticPr fontId="1"/>
  </si>
  <si>
    <r>
      <rPr>
        <sz val="11"/>
        <color theme="1"/>
        <rFont val="ＭＳ Ｐゴシック"/>
        <family val="2"/>
      </rPr>
      <t>一日の平均営業・操業時間</t>
    </r>
    <rPh sb="0" eb="2">
      <t>イチニチ</t>
    </rPh>
    <rPh sb="3" eb="5">
      <t>ヘイキン</t>
    </rPh>
    <rPh sb="5" eb="7">
      <t>エイギョウ</t>
    </rPh>
    <rPh sb="8" eb="10">
      <t>ソウギョウ</t>
    </rPh>
    <rPh sb="10" eb="12">
      <t>ジカン</t>
    </rPh>
    <phoneticPr fontId="1"/>
  </si>
  <si>
    <r>
      <t>h/</t>
    </r>
    <r>
      <rPr>
        <sz val="11"/>
        <color theme="1"/>
        <rFont val="ＭＳ Ｐゴシック"/>
        <family val="2"/>
      </rPr>
      <t>日</t>
    </r>
    <rPh sb="2" eb="3">
      <t>ヒ</t>
    </rPh>
    <phoneticPr fontId="1"/>
  </si>
  <si>
    <r>
      <rPr>
        <sz val="11"/>
        <color theme="1"/>
        <rFont val="ＭＳ Ｐゴシック"/>
        <family val="2"/>
      </rPr>
      <t>月当たりの平均操業・営業時間</t>
    </r>
    <rPh sb="0" eb="1">
      <t>ツキ</t>
    </rPh>
    <rPh sb="1" eb="2">
      <t>ア</t>
    </rPh>
    <rPh sb="5" eb="7">
      <t>ヘイキン</t>
    </rPh>
    <rPh sb="7" eb="9">
      <t>ソウギョウ</t>
    </rPh>
    <rPh sb="10" eb="12">
      <t>エイギョウ</t>
    </rPh>
    <rPh sb="12" eb="14">
      <t>ジカン</t>
    </rPh>
    <phoneticPr fontId="1"/>
  </si>
  <si>
    <r>
      <t>h/</t>
    </r>
    <r>
      <rPr>
        <sz val="11"/>
        <color theme="1"/>
        <rFont val="ＭＳ Ｐゴシック"/>
        <family val="2"/>
      </rPr>
      <t>月</t>
    </r>
    <rPh sb="2" eb="3">
      <t>ツキ</t>
    </rPh>
    <phoneticPr fontId="1"/>
  </si>
  <si>
    <r>
      <rPr>
        <b/>
        <sz val="14"/>
        <color theme="1"/>
        <rFont val="ＭＳ Ｐゴシック"/>
        <family val="3"/>
        <charset val="128"/>
      </rPr>
      <t>Ⅱ．施工内容</t>
    </r>
    <rPh sb="2" eb="4">
      <t>セコウ</t>
    </rPh>
    <rPh sb="4" eb="6">
      <t>ナイヨウ</t>
    </rPh>
    <phoneticPr fontId="1"/>
  </si>
  <si>
    <r>
      <rPr>
        <b/>
        <sz val="11"/>
        <rFont val="ＭＳ Ｐゴシック"/>
        <family val="3"/>
        <charset val="128"/>
      </rPr>
      <t>対策部位</t>
    </r>
    <r>
      <rPr>
        <sz val="11"/>
        <rFont val="Arial"/>
        <family val="2"/>
      </rPr>
      <t xml:space="preserve">  (</t>
    </r>
    <r>
      <rPr>
        <sz val="11"/>
        <rFont val="ＭＳ Ｐゴシック"/>
        <family val="3"/>
        <charset val="128"/>
      </rPr>
      <t>対策する工事をクリックし選択する。）</t>
    </r>
    <rPh sb="0" eb="2">
      <t>タイサク</t>
    </rPh>
    <rPh sb="2" eb="4">
      <t>ブイ</t>
    </rPh>
    <rPh sb="7" eb="9">
      <t>タイサク</t>
    </rPh>
    <rPh sb="11" eb="13">
      <t>コウジ</t>
    </rPh>
    <rPh sb="19" eb="21">
      <t>センタク</t>
    </rPh>
    <phoneticPr fontId="1"/>
  </si>
  <si>
    <r>
      <rPr>
        <b/>
        <sz val="11"/>
        <color theme="1"/>
        <rFont val="ＭＳ Ｐゴシック"/>
        <family val="3"/>
        <charset val="128"/>
      </rPr>
      <t>暑さ対策を行う屋根・外壁・窓ガラスの面積</t>
    </r>
    <rPh sb="0" eb="1">
      <t>アツ</t>
    </rPh>
    <rPh sb="2" eb="4">
      <t>タイサク</t>
    </rPh>
    <rPh sb="5" eb="6">
      <t>オコナ</t>
    </rPh>
    <rPh sb="7" eb="9">
      <t>ヤネ</t>
    </rPh>
    <rPh sb="10" eb="12">
      <t>ガイヘキ</t>
    </rPh>
    <rPh sb="13" eb="14">
      <t>マド</t>
    </rPh>
    <rPh sb="18" eb="20">
      <t>メンセキ</t>
    </rPh>
    <phoneticPr fontId="1"/>
  </si>
  <si>
    <r>
      <rPr>
        <sz val="11"/>
        <rFont val="ＭＳ Ｐゴシック"/>
        <family val="3"/>
        <charset val="128"/>
      </rPr>
      <t>暑さ対策を実施する屋根、外壁、窓の施工面積を記入する。施工しない場合は「０」を入力する。</t>
    </r>
    <rPh sb="0" eb="1">
      <t>アツ</t>
    </rPh>
    <rPh sb="2" eb="4">
      <t>タイサク</t>
    </rPh>
    <rPh sb="5" eb="7">
      <t>ジッシ</t>
    </rPh>
    <rPh sb="9" eb="11">
      <t>ヤネ</t>
    </rPh>
    <rPh sb="12" eb="14">
      <t>ガイヘキ</t>
    </rPh>
    <rPh sb="15" eb="16">
      <t>マド</t>
    </rPh>
    <rPh sb="17" eb="19">
      <t>セコウ</t>
    </rPh>
    <rPh sb="19" eb="21">
      <t>メンセキ</t>
    </rPh>
    <rPh sb="22" eb="24">
      <t>キニュウ</t>
    </rPh>
    <rPh sb="27" eb="29">
      <t>セコウ</t>
    </rPh>
    <rPh sb="32" eb="34">
      <t>バアイ</t>
    </rPh>
    <rPh sb="39" eb="41">
      <t>ニュウリョク</t>
    </rPh>
    <phoneticPr fontId="1"/>
  </si>
  <si>
    <r>
      <rPr>
        <sz val="11"/>
        <rFont val="ＭＳ Ｐゴシック"/>
        <family val="3"/>
        <charset val="128"/>
      </rPr>
      <t>方位については、図１、図２を参考にすること。</t>
    </r>
    <rPh sb="0" eb="2">
      <t>ホウイ</t>
    </rPh>
    <rPh sb="8" eb="9">
      <t>ズ</t>
    </rPh>
    <rPh sb="11" eb="12">
      <t>ズ</t>
    </rPh>
    <rPh sb="14" eb="16">
      <t>サンコウ</t>
    </rPh>
    <phoneticPr fontId="1"/>
  </si>
  <si>
    <r>
      <rPr>
        <b/>
        <sz val="11"/>
        <color theme="1"/>
        <rFont val="ＭＳ Ｐゴシック"/>
        <family val="3"/>
        <charset val="128"/>
      </rPr>
      <t>表－２　各方位の対象面積</t>
    </r>
    <rPh sb="0" eb="1">
      <t>ヒョウ</t>
    </rPh>
    <rPh sb="4" eb="7">
      <t>カクホウイ</t>
    </rPh>
    <rPh sb="8" eb="10">
      <t>タイショウ</t>
    </rPh>
    <rPh sb="10" eb="12">
      <t>メンセキ</t>
    </rPh>
    <phoneticPr fontId="1"/>
  </si>
  <si>
    <r>
      <rPr>
        <sz val="11"/>
        <color theme="1"/>
        <rFont val="ＭＳ Ｐゴシック"/>
        <family val="2"/>
      </rPr>
      <t>対策部位</t>
    </r>
    <rPh sb="0" eb="2">
      <t>タイサク</t>
    </rPh>
    <rPh sb="2" eb="4">
      <t>ブイ</t>
    </rPh>
    <phoneticPr fontId="1"/>
  </si>
  <si>
    <r>
      <rPr>
        <sz val="11"/>
        <color theme="1"/>
        <rFont val="ＭＳ Ｐゴシック"/>
        <family val="2"/>
      </rPr>
      <t>方位</t>
    </r>
    <rPh sb="0" eb="2">
      <t>ホウイ</t>
    </rPh>
    <phoneticPr fontId="1"/>
  </si>
  <si>
    <r>
      <rPr>
        <sz val="11"/>
        <color theme="1"/>
        <rFont val="ＭＳ Ｐゴシック"/>
        <family val="2"/>
      </rPr>
      <t>施工面積</t>
    </r>
    <r>
      <rPr>
        <sz val="11"/>
        <color theme="1"/>
        <rFont val="Arial"/>
        <family val="2"/>
      </rPr>
      <t>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  <rPh sb="0" eb="2">
      <t>セコウ</t>
    </rPh>
    <rPh sb="2" eb="4">
      <t>メンセキ</t>
    </rPh>
    <phoneticPr fontId="1"/>
  </si>
  <si>
    <r>
      <rPr>
        <sz val="11"/>
        <color theme="1"/>
        <rFont val="ＭＳ Ｐゴシック"/>
        <family val="2"/>
      </rPr>
      <t>屋根</t>
    </r>
    <rPh sb="0" eb="2">
      <t>ヤネ</t>
    </rPh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</si>
  <si>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</si>
  <si>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rPr>
        <sz val="11"/>
        <color theme="1"/>
        <rFont val="ＭＳ Ｐゴシック"/>
        <family val="2"/>
      </rPr>
      <t>外壁</t>
    </r>
    <rPh sb="0" eb="2">
      <t>ガイヘキ</t>
    </rPh>
    <phoneticPr fontId="1"/>
  </si>
  <si>
    <r>
      <rPr>
        <sz val="11"/>
        <color theme="1"/>
        <rFont val="ＭＳ Ｐゴシック"/>
        <family val="2"/>
      </rPr>
      <t>北</t>
    </r>
    <rPh sb="0" eb="1">
      <t>キタ</t>
    </rPh>
    <phoneticPr fontId="1"/>
  </si>
  <si>
    <r>
      <rPr>
        <sz val="11"/>
        <color theme="1"/>
        <rFont val="ＭＳ Ｐゴシック"/>
        <family val="2"/>
      </rPr>
      <t>北東</t>
    </r>
    <rPh sb="0" eb="2">
      <t>ホクトウ</t>
    </rPh>
    <phoneticPr fontId="1"/>
  </si>
  <si>
    <r>
      <rPr>
        <sz val="11"/>
        <color theme="1"/>
        <rFont val="ＭＳ Ｐゴシック"/>
        <family val="2"/>
      </rPr>
      <t>東</t>
    </r>
    <rPh sb="0" eb="1">
      <t>ヒガシ</t>
    </rPh>
    <phoneticPr fontId="1"/>
  </si>
  <si>
    <r>
      <rPr>
        <sz val="11"/>
        <color theme="1"/>
        <rFont val="ＭＳ Ｐゴシック"/>
        <family val="2"/>
      </rPr>
      <t>南東</t>
    </r>
    <rPh sb="0" eb="2">
      <t>ナントウ</t>
    </rPh>
    <phoneticPr fontId="1"/>
  </si>
  <si>
    <r>
      <rPr>
        <sz val="11"/>
        <color theme="1"/>
        <rFont val="ＭＳ Ｐゴシック"/>
        <family val="2"/>
      </rPr>
      <t>南</t>
    </r>
    <rPh sb="0" eb="1">
      <t>ミナミ</t>
    </rPh>
    <phoneticPr fontId="1"/>
  </si>
  <si>
    <r>
      <rPr>
        <sz val="11"/>
        <color theme="1"/>
        <rFont val="ＭＳ Ｐゴシック"/>
        <family val="2"/>
      </rPr>
      <t>南西</t>
    </r>
    <rPh sb="0" eb="2">
      <t>ナンセイ</t>
    </rPh>
    <phoneticPr fontId="1"/>
  </si>
  <si>
    <r>
      <rPr>
        <sz val="11"/>
        <color theme="1"/>
        <rFont val="ＭＳ Ｐゴシック"/>
        <family val="2"/>
      </rPr>
      <t>西</t>
    </r>
    <rPh sb="0" eb="1">
      <t>ニシ</t>
    </rPh>
    <phoneticPr fontId="1"/>
  </si>
  <si>
    <r>
      <rPr>
        <sz val="11"/>
        <color theme="1"/>
        <rFont val="ＭＳ Ｐゴシック"/>
        <family val="2"/>
      </rPr>
      <t>北西</t>
    </r>
    <rPh sb="0" eb="2">
      <t>ホクセイ</t>
    </rPh>
    <phoneticPr fontId="1"/>
  </si>
  <si>
    <r>
      <rPr>
        <sz val="11"/>
        <color theme="1"/>
        <rFont val="ＭＳ Ｐゴシック"/>
        <family val="2"/>
      </rPr>
      <t>窓ガラス</t>
    </r>
    <rPh sb="0" eb="1">
      <t>マド</t>
    </rPh>
    <phoneticPr fontId="1"/>
  </si>
  <si>
    <r>
      <rPr>
        <sz val="11"/>
        <color theme="1"/>
        <rFont val="ＭＳ Ｐゴシック"/>
        <family val="2"/>
      </rPr>
      <t>　　　　対策する面の法線（面に対して９０度の線）と方角の角度</t>
    </r>
    <r>
      <rPr>
        <b/>
        <sz val="11"/>
        <color theme="1"/>
        <rFont val="Arial"/>
        <family val="2"/>
      </rPr>
      <t>α</t>
    </r>
    <r>
      <rPr>
        <sz val="11"/>
        <color theme="1"/>
        <rFont val="ＭＳ Ｐゴシック"/>
        <family val="2"/>
      </rPr>
      <t>が</t>
    </r>
    <r>
      <rPr>
        <b/>
        <sz val="11"/>
        <color theme="1"/>
        <rFont val="ＭＳ Ｐゴシック"/>
        <family val="3"/>
        <charset val="128"/>
      </rPr>
      <t>２２．５</t>
    </r>
    <r>
      <rPr>
        <b/>
        <sz val="11"/>
        <color theme="1"/>
        <rFont val="Arial"/>
        <family val="2"/>
      </rPr>
      <t>°</t>
    </r>
    <rPh sb="4" eb="6">
      <t>タイサク</t>
    </rPh>
    <rPh sb="8" eb="9">
      <t>メン</t>
    </rPh>
    <rPh sb="10" eb="12">
      <t>ホウセン</t>
    </rPh>
    <rPh sb="13" eb="14">
      <t>メン</t>
    </rPh>
    <rPh sb="15" eb="16">
      <t>タイ</t>
    </rPh>
    <rPh sb="20" eb="21">
      <t>ド</t>
    </rPh>
    <rPh sb="22" eb="23">
      <t>セン</t>
    </rPh>
    <rPh sb="25" eb="27">
      <t>ホウガク</t>
    </rPh>
    <rPh sb="28" eb="30">
      <t>カクド</t>
    </rPh>
    <phoneticPr fontId="1"/>
  </si>
  <si>
    <r>
      <rPr>
        <sz val="11"/>
        <color theme="1"/>
        <rFont val="ＭＳ Ｐゴシック"/>
        <family val="2"/>
      </rPr>
      <t>　　　より、小さい場合、この面の方角面（この場合は西向き）となる。</t>
    </r>
    <rPh sb="6" eb="7">
      <t>チイ</t>
    </rPh>
    <rPh sb="9" eb="11">
      <t>バアイ</t>
    </rPh>
    <rPh sb="14" eb="15">
      <t>メン</t>
    </rPh>
    <rPh sb="16" eb="18">
      <t>ホウガク</t>
    </rPh>
    <rPh sb="18" eb="19">
      <t>メン</t>
    </rPh>
    <rPh sb="22" eb="24">
      <t>バアイ</t>
    </rPh>
    <rPh sb="25" eb="27">
      <t>ニシム</t>
    </rPh>
    <phoneticPr fontId="1"/>
  </si>
  <si>
    <r>
      <rPr>
        <sz val="11"/>
        <color theme="1"/>
        <rFont val="ＭＳ Ｐゴシック"/>
        <family val="2"/>
      </rPr>
      <t>　　　図２の場合は北西面となる。</t>
    </r>
    <rPh sb="3" eb="4">
      <t>ズ</t>
    </rPh>
    <rPh sb="6" eb="8">
      <t>バアイ</t>
    </rPh>
    <rPh sb="9" eb="11">
      <t>ホクセイ</t>
    </rPh>
    <rPh sb="11" eb="12">
      <t>メン</t>
    </rPh>
    <phoneticPr fontId="1"/>
  </si>
  <si>
    <r>
      <rPr>
        <b/>
        <sz val="14"/>
        <color theme="1"/>
        <rFont val="ＭＳ Ｐゴシック"/>
        <family val="3"/>
        <charset val="128"/>
      </rPr>
      <t>Ⅲ．対策後の熱性能（熱貫流率、日射熱吸収率、日射熱取得率）</t>
    </r>
    <rPh sb="15" eb="17">
      <t>ニッシャ</t>
    </rPh>
    <rPh sb="17" eb="18">
      <t>ネツ</t>
    </rPh>
    <rPh sb="18" eb="20">
      <t>キュウシュウ</t>
    </rPh>
    <rPh sb="20" eb="21">
      <t>リツ</t>
    </rPh>
    <rPh sb="22" eb="24">
      <t>ニッシャ</t>
    </rPh>
    <rPh sb="24" eb="25">
      <t>ネツ</t>
    </rPh>
    <rPh sb="25" eb="28">
      <t>シュトクリツ</t>
    </rPh>
    <phoneticPr fontId="1"/>
  </si>
  <si>
    <r>
      <rPr>
        <b/>
        <sz val="11"/>
        <color theme="1"/>
        <rFont val="ＭＳ Ｐゴシック"/>
        <family val="3"/>
        <charset val="128"/>
      </rPr>
      <t>屋根対策</t>
    </r>
    <rPh sb="0" eb="2">
      <t>ヤネ</t>
    </rPh>
    <rPh sb="2" eb="4">
      <t>タイサク</t>
    </rPh>
    <phoneticPr fontId="1"/>
  </si>
  <si>
    <r>
      <rPr>
        <sz val="11"/>
        <color theme="1"/>
        <rFont val="ＭＳ Ｐゴシック"/>
        <family val="2"/>
      </rPr>
      <t>①断熱</t>
    </r>
    <rPh sb="1" eb="3">
      <t>ダンネツ</t>
    </rPh>
    <phoneticPr fontId="1"/>
  </si>
  <si>
    <r>
      <rPr>
        <sz val="11"/>
        <rFont val="ＭＳ Ｐゴシック"/>
        <family val="2"/>
      </rPr>
      <t>屋根について、対策を行わない場合は、数値を変更しない。</t>
    </r>
    <rPh sb="0" eb="2">
      <t>ヤネ</t>
    </rPh>
    <rPh sb="7" eb="9">
      <t>タイサク</t>
    </rPh>
    <rPh sb="10" eb="11">
      <t>オコナ</t>
    </rPh>
    <rPh sb="14" eb="16">
      <t>バアイ</t>
    </rPh>
    <rPh sb="18" eb="20">
      <t>スウチ</t>
    </rPh>
    <rPh sb="21" eb="23">
      <t>ヘンコウ</t>
    </rPh>
    <phoneticPr fontId="1"/>
  </si>
  <si>
    <r>
      <rPr>
        <b/>
        <sz val="11"/>
        <color theme="1"/>
        <rFont val="ＭＳ Ｐゴシック"/>
        <family val="3"/>
        <charset val="128"/>
      </rPr>
      <t>表－３　暑さ対策による屋根の熱貫流率入力表</t>
    </r>
    <rPh sb="0" eb="1">
      <t>ヒョウ</t>
    </rPh>
    <rPh sb="4" eb="5">
      <t>アツ</t>
    </rPh>
    <rPh sb="6" eb="8">
      <t>タイサク</t>
    </rPh>
    <rPh sb="11" eb="13">
      <t>ヤネ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</si>
  <si>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r>
      <rPr>
        <sz val="11"/>
        <color theme="1"/>
        <rFont val="ＭＳ Ｐゴシック"/>
        <family val="2"/>
      </rPr>
      <t>屋根の熱貫流率</t>
    </r>
    <rPh sb="0" eb="2">
      <t>ヤネ</t>
    </rPh>
    <rPh sb="3" eb="4">
      <t>ネツ</t>
    </rPh>
    <rPh sb="4" eb="6">
      <t>カンリュウ</t>
    </rPh>
    <rPh sb="6" eb="7">
      <t>リツ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</si>
  <si>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</si>
  <si>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1"/>
        <color theme="1"/>
        <rFont val="ＭＳ Ｐゴシック"/>
        <family val="2"/>
      </rPr>
      <t>★デフォルト値：</t>
    </r>
    <r>
      <rPr>
        <sz val="11"/>
        <color theme="1"/>
        <rFont val="Arial"/>
        <family val="2"/>
      </rPr>
      <t>3.91W/(m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rPh sb="6" eb="7">
      <t>チ</t>
    </rPh>
    <phoneticPr fontId="1"/>
  </si>
  <si>
    <r>
      <rPr>
        <sz val="11"/>
        <color theme="1"/>
        <rFont val="ＭＳ Ｐゴシック"/>
        <family val="2"/>
      </rPr>
      <t>②遮熱塗装</t>
    </r>
    <rPh sb="1" eb="3">
      <t>シャネツ</t>
    </rPh>
    <rPh sb="3" eb="5">
      <t>トソウ</t>
    </rPh>
    <phoneticPr fontId="1"/>
  </si>
  <si>
    <r>
      <rPr>
        <b/>
        <sz val="11"/>
        <color theme="1"/>
        <rFont val="ＭＳ Ｐゴシック"/>
        <family val="3"/>
        <charset val="128"/>
      </rPr>
      <t>表－４　暑さ対策による屋根の日射熱吸収率入力表</t>
    </r>
    <rPh sb="0" eb="1">
      <t>ヒョウ</t>
    </rPh>
    <rPh sb="4" eb="5">
      <t>アツ</t>
    </rPh>
    <rPh sb="6" eb="8">
      <t>タイサク</t>
    </rPh>
    <rPh sb="11" eb="13">
      <t>ヤネ</t>
    </rPh>
    <rPh sb="14" eb="16">
      <t>ニッシャ</t>
    </rPh>
    <rPh sb="16" eb="17">
      <t>ネツ</t>
    </rPh>
    <rPh sb="17" eb="19">
      <t>キュウシュウ</t>
    </rPh>
    <rPh sb="19" eb="20">
      <t>リツ</t>
    </rPh>
    <rPh sb="20" eb="22">
      <t>ニュウリョク</t>
    </rPh>
    <rPh sb="22" eb="23">
      <t>ヒョウ</t>
    </rPh>
    <phoneticPr fontId="1"/>
  </si>
  <si>
    <r>
      <rPr>
        <sz val="11"/>
        <color theme="1"/>
        <rFont val="ＭＳ Ｐゴシック"/>
        <family val="2"/>
      </rPr>
      <t>遮熱塗装の日射熱吸収率</t>
    </r>
    <rPh sb="0" eb="2">
      <t>シャネツ</t>
    </rPh>
    <rPh sb="2" eb="4">
      <t>トソウ</t>
    </rPh>
    <rPh sb="5" eb="7">
      <t>ニッシャ</t>
    </rPh>
    <rPh sb="7" eb="8">
      <t>ネツ</t>
    </rPh>
    <rPh sb="8" eb="10">
      <t>キュウシュウ</t>
    </rPh>
    <rPh sb="10" eb="11">
      <t>リツ</t>
    </rPh>
    <phoneticPr fontId="1"/>
  </si>
  <si>
    <r>
      <rPr>
        <sz val="11"/>
        <color theme="1"/>
        <rFont val="ＭＳ Ｐゴシック"/>
        <family val="2"/>
      </rPr>
      <t>★デフォルト値：</t>
    </r>
    <r>
      <rPr>
        <sz val="11"/>
        <color theme="1"/>
        <rFont val="Arial"/>
        <family val="2"/>
      </rPr>
      <t>0.7</t>
    </r>
    <rPh sb="6" eb="7">
      <t>チ</t>
    </rPh>
    <phoneticPr fontId="1"/>
  </si>
  <si>
    <r>
      <rPr>
        <b/>
        <sz val="11"/>
        <color theme="1"/>
        <rFont val="ＭＳ Ｐゴシック"/>
        <family val="3"/>
        <charset val="128"/>
      </rPr>
      <t>外壁対策</t>
    </r>
    <rPh sb="0" eb="2">
      <t>ガイヘキ</t>
    </rPh>
    <rPh sb="2" eb="4">
      <t>タイサク</t>
    </rPh>
    <phoneticPr fontId="1"/>
  </si>
  <si>
    <r>
      <rPr>
        <sz val="10"/>
        <color theme="1"/>
        <rFont val="ＭＳ Ｐゴシック"/>
        <family val="2"/>
      </rPr>
      <t>【記入例】</t>
    </r>
    <rPh sb="1" eb="3">
      <t>キニュウ</t>
    </rPh>
    <rPh sb="3" eb="4">
      <t>レイ</t>
    </rPh>
    <phoneticPr fontId="1"/>
  </si>
  <si>
    <r>
      <rPr>
        <sz val="10"/>
        <color theme="1"/>
        <rFont val="ＭＳ Ｐゴシック"/>
        <family val="2"/>
      </rPr>
      <t>北東、東、南東について対策を行い</t>
    </r>
    <rPh sb="0" eb="2">
      <t>ホクトウ</t>
    </rPh>
    <rPh sb="3" eb="4">
      <t>ヒガシ</t>
    </rPh>
    <rPh sb="5" eb="7">
      <t>ナントウ</t>
    </rPh>
    <rPh sb="11" eb="13">
      <t>タイサク</t>
    </rPh>
    <rPh sb="14" eb="15">
      <t>オコナ</t>
    </rPh>
    <phoneticPr fontId="1"/>
  </si>
  <si>
    <r>
      <rPr>
        <sz val="10"/>
        <color theme="1"/>
        <rFont val="ＭＳ Ｐゴシック"/>
        <family val="2"/>
      </rPr>
      <t>熱貫流率が</t>
    </r>
    <r>
      <rPr>
        <sz val="10"/>
        <color theme="1"/>
        <rFont val="Arial"/>
        <family val="2"/>
      </rPr>
      <t>”0.8”</t>
    </r>
    <r>
      <rPr>
        <sz val="10"/>
        <color theme="1"/>
        <rFont val="ＭＳ Ｐゴシック"/>
        <family val="2"/>
      </rPr>
      <t>に変更する場合</t>
    </r>
    <rPh sb="0" eb="1">
      <t>ネツ</t>
    </rPh>
    <rPh sb="1" eb="3">
      <t>カンリュウ</t>
    </rPh>
    <rPh sb="3" eb="4">
      <t>リツ</t>
    </rPh>
    <rPh sb="11" eb="13">
      <t>ヘンコウ</t>
    </rPh>
    <rPh sb="15" eb="17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</si>
  <si>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表－５　暑さ対策による外壁の熱貫流率入力表</t>
    </r>
    <rPh sb="0" eb="1">
      <t>ヒョウ</t>
    </rPh>
    <rPh sb="4" eb="5">
      <t>アツ</t>
    </rPh>
    <rPh sb="6" eb="8">
      <t>タイサク</t>
    </rPh>
    <rPh sb="11" eb="13">
      <t>ガイヘキ</t>
    </rPh>
    <rPh sb="14" eb="15">
      <t>ネツ</t>
    </rPh>
    <rPh sb="15" eb="17">
      <t>カンリュウ</t>
    </rPh>
    <rPh sb="17" eb="18">
      <t>リツ</t>
    </rPh>
    <rPh sb="18" eb="20">
      <t>ニュウリョク</t>
    </rPh>
    <rPh sb="20" eb="21">
      <t>ヒョウ</t>
    </rPh>
    <phoneticPr fontId="1"/>
  </si>
  <si>
    <r>
      <rPr>
        <sz val="11"/>
        <color theme="1"/>
        <rFont val="ＭＳ Ｐゴシック"/>
        <family val="2"/>
      </rPr>
      <t>表</t>
    </r>
    <r>
      <rPr>
        <sz val="11"/>
        <color theme="1"/>
        <rFont val="Arial"/>
        <family val="2"/>
      </rPr>
      <t>A</t>
    </r>
    <r>
      <rPr>
        <sz val="11"/>
        <color theme="1"/>
        <rFont val="ＭＳ Ｐゴシック"/>
        <family val="2"/>
      </rPr>
      <t>　表－５の記入例</t>
    </r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</si>
  <si>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r>
      <rPr>
        <sz val="10"/>
        <color theme="1"/>
        <rFont val="ＭＳ Ｐゴシック"/>
        <family val="3"/>
        <charset val="128"/>
      </rPr>
      <t>部位</t>
    </r>
    <rPh sb="0" eb="2">
      <t>ブイ</t>
    </rPh>
    <phoneticPr fontId="1"/>
  </si>
  <si>
    <r>
      <rPr>
        <sz val="10"/>
        <color theme="1"/>
        <rFont val="ＭＳ Ｐゴシック"/>
        <family val="3"/>
        <charset val="128"/>
      </rPr>
      <t>方位</t>
    </r>
    <rPh sb="0" eb="2">
      <t>ホウイ</t>
    </rPh>
    <phoneticPr fontId="1"/>
  </si>
  <si>
    <r>
      <rPr>
        <sz val="10"/>
        <color theme="1"/>
        <rFont val="ＭＳ Ｐゴシック"/>
        <family val="3"/>
        <charset val="128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</si>
  <si>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</si>
  <si>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1"/>
        <color theme="1"/>
        <rFont val="ＭＳ Ｐゴシック"/>
        <family val="2"/>
      </rPr>
      <t>★デフォルト値：</t>
    </r>
    <r>
      <rPr>
        <sz val="11"/>
        <color theme="1"/>
        <rFont val="Arial"/>
        <family val="2"/>
      </rPr>
      <t>1.18W/(m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rPh sb="6" eb="7">
      <t>チ</t>
    </rPh>
    <phoneticPr fontId="1"/>
  </si>
  <si>
    <r>
      <rPr>
        <sz val="10"/>
        <color theme="1"/>
        <rFont val="ＭＳ Ｐゴシック"/>
        <family val="3"/>
        <charset val="128"/>
      </rPr>
      <t>外壁</t>
    </r>
    <rPh sb="0" eb="2">
      <t>ガイヘキ</t>
    </rPh>
    <phoneticPr fontId="1"/>
  </si>
  <si>
    <r>
      <rPr>
        <sz val="10"/>
        <color theme="1"/>
        <rFont val="ＭＳ Ｐゴシック"/>
        <family val="3"/>
        <charset val="128"/>
      </rPr>
      <t>北</t>
    </r>
    <rPh sb="0" eb="1">
      <t>キタ</t>
    </rPh>
    <phoneticPr fontId="1"/>
  </si>
  <si>
    <r>
      <rPr>
        <sz val="10"/>
        <color theme="1"/>
        <rFont val="ＭＳ Ｐゴシック"/>
        <family val="2"/>
      </rPr>
      <t>←変更なし</t>
    </r>
    <rPh sb="1" eb="3">
      <t>ヘンコウ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</si>
  <si>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</si>
  <si>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rgb="FFFF0000"/>
        <rFont val="ＭＳ Ｐゴシック"/>
        <family val="3"/>
        <charset val="128"/>
      </rPr>
      <t>北東</t>
    </r>
    <rPh sb="0" eb="2">
      <t>ホクトウ</t>
    </rPh>
    <phoneticPr fontId="1"/>
  </si>
  <si>
    <r>
      <rPr>
        <sz val="10"/>
        <color rgb="FFFF0000"/>
        <rFont val="ＭＳ Ｐゴシック"/>
        <family val="3"/>
        <charset val="128"/>
      </rPr>
      <t>←</t>
    </r>
    <r>
      <rPr>
        <sz val="10"/>
        <color rgb="FFFF0000"/>
        <rFont val="Arial"/>
        <family val="2"/>
      </rPr>
      <t>0.8</t>
    </r>
    <r>
      <rPr>
        <sz val="10"/>
        <color rgb="FFFF0000"/>
        <rFont val="ＭＳ Ｐゴシック"/>
        <family val="3"/>
        <charset val="128"/>
      </rPr>
      <t>を入力</t>
    </r>
    <rPh sb="5" eb="7">
      <t>ニュウリョク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</si>
  <si>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</si>
  <si>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rgb="FFFF0000"/>
        <rFont val="ＭＳ Ｐゴシック"/>
        <family val="3"/>
        <charset val="128"/>
      </rPr>
      <t>東</t>
    </r>
    <rPh sb="0" eb="1">
      <t>ヒガシ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</si>
  <si>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</si>
  <si>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rgb="FFFF0000"/>
        <rFont val="ＭＳ Ｐゴシック"/>
        <family val="3"/>
        <charset val="128"/>
      </rPr>
      <t>南東</t>
    </r>
    <rPh sb="0" eb="2">
      <t>ナントウ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</si>
  <si>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</si>
  <si>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南</t>
    </r>
    <rPh sb="0" eb="1">
      <t>ミナミ</t>
    </rPh>
    <phoneticPr fontId="1"/>
  </si>
  <si>
    <r>
      <rPr>
        <sz val="10"/>
        <color theme="1"/>
        <rFont val="ＭＳ Ｐゴシック"/>
        <family val="3"/>
        <charset val="128"/>
      </rPr>
      <t>南西</t>
    </r>
    <rPh sb="0" eb="2">
      <t>ナンセイ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</si>
  <si>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</si>
  <si>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西</t>
    </r>
    <rPh sb="0" eb="1">
      <t>ニシ</t>
    </rPh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</si>
  <si>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</si>
  <si>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北西</t>
    </r>
    <rPh sb="0" eb="2">
      <t>ホクセイ</t>
    </rPh>
    <phoneticPr fontId="1"/>
  </si>
  <si>
    <r>
      <rPr>
        <sz val="10"/>
        <color theme="1"/>
        <rFont val="ＭＳ Ｐゴシック"/>
        <family val="2"/>
      </rPr>
      <t>日射吸収率が</t>
    </r>
    <r>
      <rPr>
        <sz val="10"/>
        <color theme="1"/>
        <rFont val="Arial"/>
        <family val="2"/>
      </rPr>
      <t>”0.3”</t>
    </r>
    <r>
      <rPr>
        <sz val="10"/>
        <color theme="1"/>
        <rFont val="ＭＳ Ｐゴシック"/>
        <family val="2"/>
      </rPr>
      <t>に変更する場合</t>
    </r>
    <rPh sb="0" eb="2">
      <t>ニッシャ</t>
    </rPh>
    <rPh sb="2" eb="4">
      <t>キュウシュウ</t>
    </rPh>
    <rPh sb="4" eb="5">
      <t>リツ</t>
    </rPh>
    <rPh sb="12" eb="14">
      <t>ヘンコウ</t>
    </rPh>
    <rPh sb="16" eb="18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</si>
  <si>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表－６　暑さ対策による外壁の日射熱吸収率入力表</t>
    </r>
    <rPh sb="0" eb="1">
      <t>ヒョウ</t>
    </rPh>
    <rPh sb="4" eb="5">
      <t>アツ</t>
    </rPh>
    <rPh sb="6" eb="8">
      <t>タイサク</t>
    </rPh>
    <rPh sb="11" eb="13">
      <t>ガイヘキ</t>
    </rPh>
    <rPh sb="14" eb="16">
      <t>ニッシャ</t>
    </rPh>
    <rPh sb="16" eb="17">
      <t>ネツ</t>
    </rPh>
    <rPh sb="17" eb="19">
      <t>キュウシュウ</t>
    </rPh>
    <rPh sb="19" eb="20">
      <t>リツ</t>
    </rPh>
    <rPh sb="20" eb="22">
      <t>ニュウリョク</t>
    </rPh>
    <rPh sb="22" eb="23">
      <t>ヒョウ</t>
    </rPh>
    <phoneticPr fontId="1"/>
  </si>
  <si>
    <r>
      <rPr>
        <sz val="11"/>
        <color theme="1"/>
        <rFont val="ＭＳ Ｐゴシック"/>
        <family val="2"/>
      </rPr>
      <t>表</t>
    </r>
    <r>
      <rPr>
        <sz val="11"/>
        <color theme="1"/>
        <rFont val="Arial"/>
        <family val="2"/>
      </rPr>
      <t>B</t>
    </r>
    <r>
      <rPr>
        <sz val="11"/>
        <color theme="1"/>
        <rFont val="ＭＳ Ｐゴシック"/>
        <family val="2"/>
      </rPr>
      <t>　表－６の記入例</t>
    </r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</si>
  <si>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r>
      <rPr>
        <sz val="9"/>
        <color theme="1"/>
        <rFont val="ＭＳ Ｐゴシック"/>
        <family val="2"/>
      </rPr>
      <t>日射熱吸収率</t>
    </r>
    <rPh sb="0" eb="2">
      <t>ニッシャ</t>
    </rPh>
    <rPh sb="2" eb="3">
      <t>ネツ</t>
    </rPh>
    <rPh sb="3" eb="5">
      <t>キュウシュウ</t>
    </rPh>
    <rPh sb="5" eb="6">
      <t>リツ</t>
    </rPh>
    <phoneticPr fontId="1"/>
  </si>
  <si>
    <r>
      <rPr>
        <sz val="10"/>
        <color rgb="FFFF0000"/>
        <rFont val="ＭＳ Ｐゴシック"/>
        <family val="3"/>
        <charset val="128"/>
      </rPr>
      <t>←</t>
    </r>
    <r>
      <rPr>
        <sz val="10"/>
        <color rgb="FFFF0000"/>
        <rFont val="Arial"/>
        <family val="2"/>
      </rPr>
      <t>0.3</t>
    </r>
    <r>
      <rPr>
        <sz val="10"/>
        <color rgb="FFFF0000"/>
        <rFont val="ＭＳ Ｐゴシック"/>
        <family val="3"/>
        <charset val="128"/>
      </rPr>
      <t>を入力</t>
    </r>
    <rPh sb="5" eb="7">
      <t>ニュウリョク</t>
    </rPh>
    <phoneticPr fontId="1"/>
  </si>
  <si>
    <r>
      <rPr>
        <b/>
        <sz val="11"/>
        <color theme="1"/>
        <rFont val="ＭＳ Ｐゴシック"/>
        <family val="3"/>
        <charset val="128"/>
      </rPr>
      <t>窓対策</t>
    </r>
    <rPh sb="0" eb="1">
      <t>マド</t>
    </rPh>
    <rPh sb="1" eb="3">
      <t>タイサク</t>
    </rPh>
    <phoneticPr fontId="1"/>
  </si>
  <si>
    <r>
      <rPr>
        <sz val="11"/>
        <color theme="1"/>
        <rFont val="ＭＳ Ｐゴシック"/>
        <family val="2"/>
      </rPr>
      <t>窓対策による熱貫流率と日射熱取得率の値</t>
    </r>
    <rPh sb="0" eb="1">
      <t>マド</t>
    </rPh>
    <rPh sb="1" eb="3">
      <t>タイサク</t>
    </rPh>
    <rPh sb="6" eb="7">
      <t>ネツ</t>
    </rPh>
    <rPh sb="7" eb="9">
      <t>カンリュウ</t>
    </rPh>
    <rPh sb="9" eb="10">
      <t>リツ</t>
    </rPh>
    <rPh sb="11" eb="13">
      <t>ニッシャ</t>
    </rPh>
    <rPh sb="13" eb="14">
      <t>ネツ</t>
    </rPh>
    <rPh sb="14" eb="16">
      <t>シュトク</t>
    </rPh>
    <rPh sb="16" eb="17">
      <t>リツ</t>
    </rPh>
    <rPh sb="18" eb="19">
      <t>アタイ</t>
    </rPh>
    <phoneticPr fontId="1"/>
  </si>
  <si>
    <r>
      <rPr>
        <b/>
        <sz val="11"/>
        <color theme="1"/>
        <rFont val="ＭＳ Ｐゴシック"/>
        <family val="3"/>
        <charset val="128"/>
      </rPr>
      <t>表－７　暑さ対策による窓の熱貫流率と日射熱取得率の選定表</t>
    </r>
    <rPh sb="0" eb="1">
      <t>ヒョウ</t>
    </rPh>
    <rPh sb="4" eb="5">
      <t>アツ</t>
    </rPh>
    <rPh sb="6" eb="8">
      <t>タイサク</t>
    </rPh>
    <rPh sb="11" eb="12">
      <t>マド</t>
    </rPh>
    <rPh sb="13" eb="14">
      <t>ネツ</t>
    </rPh>
    <rPh sb="14" eb="16">
      <t>カンリュウ</t>
    </rPh>
    <rPh sb="16" eb="17">
      <t>リツ</t>
    </rPh>
    <rPh sb="18" eb="20">
      <t>ニッシャ</t>
    </rPh>
    <rPh sb="20" eb="21">
      <t>ネツ</t>
    </rPh>
    <rPh sb="21" eb="23">
      <t>シュトク</t>
    </rPh>
    <rPh sb="23" eb="24">
      <t>リツ</t>
    </rPh>
    <rPh sb="25" eb="27">
      <t>センテイ</t>
    </rPh>
    <rPh sb="27" eb="28">
      <t>ヒョウ</t>
    </rPh>
    <phoneticPr fontId="1"/>
  </si>
  <si>
    <r>
      <rPr>
        <sz val="10"/>
        <color theme="1"/>
        <rFont val="ＭＳ Ｐゴシック"/>
        <family val="2"/>
      </rPr>
      <t>デフォルト値</t>
    </r>
    <rPh sb="5" eb="6">
      <t>チ</t>
    </rPh>
    <phoneticPr fontId="1"/>
  </si>
  <si>
    <r>
      <rPr>
        <sz val="10"/>
        <color theme="1"/>
        <rFont val="ＭＳ Ｐゴシック"/>
        <family val="2"/>
      </rPr>
      <t>単層高性能熱線反射相当</t>
    </r>
    <rPh sb="0" eb="2">
      <t>タンソウ</t>
    </rPh>
    <rPh sb="2" eb="5">
      <t>コウセイノウ</t>
    </rPh>
    <rPh sb="5" eb="6">
      <t>ネツ</t>
    </rPh>
    <rPh sb="6" eb="7">
      <t>セン</t>
    </rPh>
    <rPh sb="7" eb="9">
      <t>ハンシャ</t>
    </rPh>
    <rPh sb="9" eb="11">
      <t>ソウトウ</t>
    </rPh>
    <phoneticPr fontId="1"/>
  </si>
  <si>
    <r>
      <rPr>
        <sz val="10"/>
        <color theme="1"/>
        <rFont val="ＭＳ Ｐゴシック"/>
        <family val="3"/>
        <charset val="128"/>
      </rPr>
      <t>複層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空気層</t>
    </r>
    <r>
      <rPr>
        <sz val="10"/>
        <color theme="1"/>
        <rFont val="Arial"/>
        <family val="2"/>
      </rPr>
      <t>6mm)Low-E(</t>
    </r>
    <r>
      <rPr>
        <sz val="10"/>
        <color theme="1"/>
        <rFont val="ＭＳ Ｐゴシック"/>
        <family val="3"/>
        <charset val="128"/>
      </rPr>
      <t>遮蔽</t>
    </r>
    <r>
      <rPr>
        <sz val="10"/>
        <color theme="1"/>
        <rFont val="Arial"/>
        <family val="2"/>
      </rPr>
      <t>)6t</t>
    </r>
    <r>
      <rPr>
        <sz val="10"/>
        <color theme="1"/>
        <rFont val="ＭＳ Ｐゴシック"/>
        <family val="3"/>
        <charset val="128"/>
      </rPr>
      <t>＋透明</t>
    </r>
    <r>
      <rPr>
        <sz val="10"/>
        <color theme="1"/>
        <rFont val="Arial"/>
        <family val="2"/>
      </rPr>
      <t>6t</t>
    </r>
    <r>
      <rPr>
        <sz val="10"/>
        <color theme="1"/>
        <rFont val="ＭＳ Ｐゴシック"/>
        <family val="3"/>
        <charset val="128"/>
      </rPr>
      <t>相当</t>
    </r>
    <rPh sb="0" eb="2">
      <t>フクソウ</t>
    </rPh>
    <rPh sb="3" eb="5">
      <t>クウキ</t>
    </rPh>
    <rPh sb="5" eb="6">
      <t>ソウ</t>
    </rPh>
    <rPh sb="16" eb="18">
      <t>シャヘイ</t>
    </rPh>
    <rPh sb="22" eb="24">
      <t>トウメイ</t>
    </rPh>
    <rPh sb="26" eb="28">
      <t>ソウトウ</t>
    </rPh>
    <phoneticPr fontId="1"/>
  </si>
  <si>
    <r>
      <rPr>
        <sz val="9"/>
        <color theme="1"/>
        <rFont val="ＭＳ Ｐゴシック"/>
        <family val="3"/>
        <charset val="128"/>
      </rPr>
      <t>複層</t>
    </r>
    <r>
      <rPr>
        <sz val="9"/>
        <color theme="1"/>
        <rFont val="Arial"/>
        <family val="2"/>
      </rPr>
      <t>(</t>
    </r>
    <r>
      <rPr>
        <sz val="9"/>
        <color theme="1"/>
        <rFont val="ＭＳ Ｐゴシック"/>
        <family val="3"/>
        <charset val="128"/>
      </rPr>
      <t>空気層</t>
    </r>
    <r>
      <rPr>
        <sz val="9"/>
        <color theme="1"/>
        <rFont val="Arial"/>
        <family val="2"/>
      </rPr>
      <t>12mm</t>
    </r>
    <r>
      <rPr>
        <sz val="9"/>
        <color theme="1"/>
        <rFont val="ＭＳ Ｐゴシック"/>
        <family val="3"/>
        <charset val="128"/>
      </rPr>
      <t>）</t>
    </r>
    <r>
      <rPr>
        <sz val="9"/>
        <color theme="1"/>
        <rFont val="Arial"/>
        <family val="2"/>
      </rPr>
      <t>Low-E(</t>
    </r>
    <r>
      <rPr>
        <sz val="9"/>
        <color theme="1"/>
        <rFont val="ＭＳ Ｐゴシック"/>
        <family val="3"/>
        <charset val="128"/>
      </rPr>
      <t>遮蔽</t>
    </r>
    <r>
      <rPr>
        <sz val="9"/>
        <color theme="1"/>
        <rFont val="Arial"/>
        <family val="2"/>
      </rPr>
      <t>)6t</t>
    </r>
    <r>
      <rPr>
        <sz val="9"/>
        <color theme="1"/>
        <rFont val="ＭＳ Ｐゴシック"/>
        <family val="3"/>
        <charset val="128"/>
      </rPr>
      <t>＋透明</t>
    </r>
    <r>
      <rPr>
        <sz val="9"/>
        <color theme="1"/>
        <rFont val="Arial"/>
        <family val="2"/>
      </rPr>
      <t>6t</t>
    </r>
    <r>
      <rPr>
        <sz val="9"/>
        <color theme="1"/>
        <rFont val="ＭＳ Ｐゴシック"/>
        <family val="3"/>
        <charset val="128"/>
      </rPr>
      <t>相当</t>
    </r>
    <rPh sb="0" eb="2">
      <t>フクソウ</t>
    </rPh>
    <rPh sb="3" eb="5">
      <t>クウキ</t>
    </rPh>
    <rPh sb="5" eb="6">
      <t>ソウ</t>
    </rPh>
    <rPh sb="17" eb="19">
      <t>シャヘイ</t>
    </rPh>
    <rPh sb="23" eb="25">
      <t>トウメイ</t>
    </rPh>
    <rPh sb="27" eb="29">
      <t>ソウトウ</t>
    </rPh>
    <phoneticPr fontId="1"/>
  </si>
  <si>
    <r>
      <rPr>
        <sz val="10"/>
        <color theme="1"/>
        <rFont val="ＭＳ Ｐゴシック"/>
        <family val="3"/>
        <charset val="128"/>
      </rPr>
      <t>上記以外（</t>
    </r>
    <r>
      <rPr>
        <sz val="10"/>
        <color theme="1"/>
        <rFont val="Arial"/>
        <family val="2"/>
      </rPr>
      <t>JIS</t>
    </r>
    <r>
      <rPr>
        <sz val="10"/>
        <color theme="1"/>
        <rFont val="ＭＳ Ｐゴシック"/>
        <family val="3"/>
        <charset val="128"/>
      </rPr>
      <t>で示された熱貫流率）</t>
    </r>
    <rPh sb="0" eb="2">
      <t>ジョウキ</t>
    </rPh>
    <rPh sb="2" eb="4">
      <t>イガイ</t>
    </rPh>
    <rPh sb="9" eb="10">
      <t>シメ</t>
    </rPh>
    <rPh sb="13" eb="14">
      <t>ネツ</t>
    </rPh>
    <rPh sb="14" eb="16">
      <t>カンリュウ</t>
    </rPh>
    <rPh sb="16" eb="17">
      <t>リツ</t>
    </rPh>
    <phoneticPr fontId="1"/>
  </si>
  <si>
    <r>
      <rPr>
        <sz val="11"/>
        <rFont val="ＭＳ Ｐゴシック"/>
        <family val="2"/>
      </rPr>
      <t>窓ガラスについて、対策を行わない方位の数値はデフォルト値のままとすること。</t>
    </r>
    <rPh sb="0" eb="1">
      <t>マド</t>
    </rPh>
    <rPh sb="9" eb="11">
      <t>タイサク</t>
    </rPh>
    <rPh sb="12" eb="13">
      <t>オコナ</t>
    </rPh>
    <rPh sb="16" eb="18">
      <t>ホウイ</t>
    </rPh>
    <rPh sb="19" eb="21">
      <t>スウチ</t>
    </rPh>
    <rPh sb="27" eb="28">
      <t>チ</t>
    </rPh>
    <phoneticPr fontId="1"/>
  </si>
  <si>
    <r>
      <rPr>
        <sz val="10"/>
        <color theme="1"/>
        <rFont val="ＭＳ Ｐゴシック"/>
        <family val="2"/>
      </rPr>
      <t>南、南西、西について対策を行い</t>
    </r>
    <rPh sb="0" eb="1">
      <t>ミナミ</t>
    </rPh>
    <rPh sb="2" eb="4">
      <t>ナンセイ</t>
    </rPh>
    <rPh sb="5" eb="6">
      <t>ニシ</t>
    </rPh>
    <rPh sb="10" eb="12">
      <t>タイサク</t>
    </rPh>
    <rPh sb="13" eb="14">
      <t>オコナ</t>
    </rPh>
    <phoneticPr fontId="1"/>
  </si>
  <si>
    <r>
      <rPr>
        <sz val="11"/>
        <rFont val="ＭＳ Ｐゴシック"/>
        <family val="3"/>
        <charset val="128"/>
      </rPr>
      <t>対策を行う方位のみ、プルダウンリストから選択する。</t>
    </r>
    <rPh sb="0" eb="2">
      <t>タイサク</t>
    </rPh>
    <rPh sb="3" eb="4">
      <t>オコナ</t>
    </rPh>
    <rPh sb="5" eb="7">
      <t>ホウイ</t>
    </rPh>
    <rPh sb="20" eb="22">
      <t>センタク</t>
    </rPh>
    <phoneticPr fontId="1"/>
  </si>
  <si>
    <r>
      <rPr>
        <sz val="10"/>
        <color theme="1"/>
        <rFont val="ＭＳ Ｐゴシック"/>
        <family val="2"/>
      </rPr>
      <t>熱貫流率が</t>
    </r>
    <r>
      <rPr>
        <sz val="10"/>
        <color theme="1"/>
        <rFont val="Arial"/>
        <family val="2"/>
      </rPr>
      <t>”3”</t>
    </r>
    <r>
      <rPr>
        <sz val="10"/>
        <color theme="1"/>
        <rFont val="ＭＳ Ｐゴシック"/>
        <family val="2"/>
      </rPr>
      <t>に、遮蔽係数が</t>
    </r>
    <r>
      <rPr>
        <sz val="10"/>
        <color theme="1"/>
        <rFont val="Arial"/>
        <family val="2"/>
      </rPr>
      <t>0.8</t>
    </r>
    <r>
      <rPr>
        <sz val="10"/>
        <color theme="1"/>
        <rFont val="ＭＳ Ｐゴシック"/>
        <family val="2"/>
      </rPr>
      <t>に</t>
    </r>
    <rPh sb="0" eb="1">
      <t>ネツ</t>
    </rPh>
    <rPh sb="1" eb="3">
      <t>カンリュウ</t>
    </rPh>
    <rPh sb="3" eb="4">
      <t>リツ</t>
    </rPh>
    <rPh sb="10" eb="12">
      <t>シャヘイ</t>
    </rPh>
    <rPh sb="12" eb="14">
      <t>ケイスウ</t>
    </rPh>
    <phoneticPr fontId="1"/>
  </si>
  <si>
    <r>
      <rPr>
        <b/>
        <sz val="11"/>
        <color theme="1"/>
        <rFont val="ＭＳ Ｐゴシック"/>
        <family val="3"/>
        <charset val="128"/>
      </rPr>
      <t>表－８　暑さ対策による窓の熱貫流率と日射熱取得率の入力表</t>
    </r>
    <rPh sb="0" eb="1">
      <t>ヒョウ</t>
    </rPh>
    <rPh sb="4" eb="5">
      <t>アツ</t>
    </rPh>
    <rPh sb="6" eb="8">
      <t>タイサク</t>
    </rPh>
    <rPh sb="18" eb="20">
      <t>ニッシャ</t>
    </rPh>
    <rPh sb="20" eb="21">
      <t>ネツ</t>
    </rPh>
    <rPh sb="21" eb="23">
      <t>シュトク</t>
    </rPh>
    <rPh sb="23" eb="24">
      <t>リツ</t>
    </rPh>
    <rPh sb="25" eb="27">
      <t>ニュウリョク</t>
    </rPh>
    <phoneticPr fontId="1"/>
  </si>
  <si>
    <r>
      <rPr>
        <sz val="11"/>
        <color theme="1"/>
        <rFont val="ＭＳ Ｐゴシック"/>
        <family val="2"/>
      </rPr>
      <t>★デフォルト値：</t>
    </r>
    <rPh sb="6" eb="7">
      <t>チ</t>
    </rPh>
    <phoneticPr fontId="1"/>
  </si>
  <si>
    <r>
      <rPr>
        <sz val="10"/>
        <color theme="1"/>
        <rFont val="ＭＳ Ｐゴシック"/>
        <family val="3"/>
        <charset val="128"/>
      </rPr>
      <t>変更する場合</t>
    </r>
    <phoneticPr fontId="1"/>
  </si>
  <si>
    <r>
      <rPr>
        <sz val="9"/>
        <color theme="1"/>
        <rFont val="ＭＳ Ｐゴシック"/>
        <family val="2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</si>
  <si>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rPr>
        <sz val="9"/>
        <color theme="1"/>
        <rFont val="ＭＳ Ｐゴシック"/>
        <family val="2"/>
      </rPr>
      <t>日射熱取得率</t>
    </r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</si>
  <si>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r>
      <rPr>
        <sz val="11"/>
        <color theme="1"/>
        <rFont val="ＭＳ Ｐゴシック"/>
        <family val="2"/>
      </rPr>
      <t>表</t>
    </r>
    <r>
      <rPr>
        <sz val="11"/>
        <color theme="1"/>
        <rFont val="Arial"/>
        <family val="2"/>
      </rPr>
      <t>C</t>
    </r>
    <r>
      <rPr>
        <sz val="11"/>
        <color theme="1"/>
        <rFont val="ＭＳ Ｐゴシック"/>
        <family val="2"/>
      </rPr>
      <t>　表－８の記入例</t>
    </r>
    <rPh sb="0" eb="1">
      <t>ヒョウ</t>
    </rPh>
    <rPh sb="3" eb="4">
      <t>ヒョウ</t>
    </rPh>
    <rPh sb="7" eb="9">
      <t>キニュウ</t>
    </rPh>
    <rPh sb="9" eb="10">
      <t>レイ</t>
    </rPh>
    <phoneticPr fontId="1"/>
  </si>
  <si>
    <r>
      <rPr>
        <sz val="11"/>
        <color theme="1"/>
        <rFont val="ＭＳ Ｐゴシック"/>
        <family val="2"/>
      </rPr>
      <t>デフォルト値</t>
    </r>
    <rPh sb="5" eb="6">
      <t>チ</t>
    </rPh>
    <phoneticPr fontId="1"/>
  </si>
  <si>
    <r>
      <t>5.95W/(m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</si>
  <si>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3"/>
        <charset val="128"/>
      </rPr>
      <t>遮熱係数</t>
    </r>
    <rPh sb="0" eb="2">
      <t>シャネツ</t>
    </rPh>
    <rPh sb="2" eb="4">
      <t>ケイスウ</t>
    </rPh>
    <phoneticPr fontId="1"/>
  </si>
  <si>
    <r>
      <rPr>
        <sz val="10"/>
        <color theme="1"/>
        <rFont val="ＭＳ Ｐゴシック"/>
        <family val="3"/>
        <charset val="128"/>
      </rPr>
      <t>窓ガラス</t>
    </r>
    <rPh sb="0" eb="1">
      <t>マド</t>
    </rPh>
    <phoneticPr fontId="1"/>
  </si>
  <si>
    <r>
      <rPr>
        <sz val="10"/>
        <color theme="1"/>
        <rFont val="ＭＳ Ｐゴシック"/>
        <family val="3"/>
        <charset val="128"/>
      </rPr>
      <t>北東</t>
    </r>
    <rPh sb="0" eb="2">
      <t>ホクトウ</t>
    </rPh>
    <phoneticPr fontId="1"/>
  </si>
  <si>
    <r>
      <rPr>
        <sz val="10"/>
        <color theme="1"/>
        <rFont val="ＭＳ Ｐゴシック"/>
        <family val="3"/>
        <charset val="128"/>
      </rPr>
      <t>東</t>
    </r>
    <rPh sb="0" eb="1">
      <t>ヒガシ</t>
    </rPh>
    <phoneticPr fontId="1"/>
  </si>
  <si>
    <r>
      <rPr>
        <sz val="10"/>
        <color theme="1"/>
        <rFont val="ＭＳ Ｐゴシック"/>
        <family val="3"/>
        <charset val="128"/>
      </rPr>
      <t>南東</t>
    </r>
    <rPh sb="0" eb="2">
      <t>ナントウ</t>
    </rPh>
    <phoneticPr fontId="1"/>
  </si>
  <si>
    <r>
      <rPr>
        <sz val="10"/>
        <color rgb="FFFF0000"/>
        <rFont val="ＭＳ Ｐゴシック"/>
        <family val="3"/>
        <charset val="128"/>
      </rPr>
      <t>南</t>
    </r>
    <rPh sb="0" eb="1">
      <t>ミナミ</t>
    </rPh>
    <phoneticPr fontId="1"/>
  </si>
  <si>
    <r>
      <rPr>
        <sz val="10"/>
        <color rgb="FFFF0000"/>
        <rFont val="ＭＳ Ｐゴシック"/>
        <family val="3"/>
        <charset val="128"/>
      </rPr>
      <t>←</t>
    </r>
    <r>
      <rPr>
        <sz val="10"/>
        <color rgb="FFFF0000"/>
        <rFont val="Arial"/>
        <family val="2"/>
      </rPr>
      <t>3</t>
    </r>
    <r>
      <rPr>
        <sz val="10"/>
        <color rgb="FFFF0000"/>
        <rFont val="ＭＳ Ｐゴシック"/>
        <family val="3"/>
        <charset val="128"/>
      </rPr>
      <t>、</t>
    </r>
    <r>
      <rPr>
        <sz val="10"/>
        <color rgb="FFFF0000"/>
        <rFont val="Arial"/>
        <family val="2"/>
      </rPr>
      <t>0.8</t>
    </r>
    <r>
      <rPr>
        <sz val="10"/>
        <color rgb="FFFF0000"/>
        <rFont val="ＭＳ Ｐゴシック"/>
        <family val="3"/>
        <charset val="128"/>
      </rPr>
      <t>を入力</t>
    </r>
    <rPh sb="7" eb="9">
      <t>ニュウリョク</t>
    </rPh>
    <phoneticPr fontId="1"/>
  </si>
  <si>
    <r>
      <rPr>
        <sz val="10"/>
        <color rgb="FFFF0000"/>
        <rFont val="ＭＳ Ｐゴシック"/>
        <family val="3"/>
        <charset val="128"/>
      </rPr>
      <t>南西</t>
    </r>
    <rPh sb="0" eb="2">
      <t>ナンセイ</t>
    </rPh>
    <phoneticPr fontId="1"/>
  </si>
  <si>
    <r>
      <rPr>
        <sz val="10"/>
        <color rgb="FFFF0000"/>
        <rFont val="ＭＳ Ｐゴシック"/>
        <family val="3"/>
        <charset val="128"/>
      </rPr>
      <t>西</t>
    </r>
    <rPh sb="0" eb="1">
      <t>ニシ</t>
    </rPh>
    <phoneticPr fontId="1"/>
  </si>
  <si>
    <r>
      <rPr>
        <b/>
        <sz val="11"/>
        <color theme="1"/>
        <rFont val="ＭＳ Ｐゴシック"/>
        <family val="3"/>
        <charset val="128"/>
      </rPr>
      <t>計算結果</t>
    </r>
    <rPh sb="0" eb="2">
      <t>ケイサン</t>
    </rPh>
    <rPh sb="2" eb="4">
      <t>ケッカ</t>
    </rPh>
    <phoneticPr fontId="1"/>
  </si>
  <si>
    <r>
      <rPr>
        <sz val="11"/>
        <color theme="1"/>
        <rFont val="ＭＳ Ｐゴシック"/>
        <family val="2"/>
      </rPr>
      <t>立地場所に近い数値を採用してください。</t>
    </r>
    <rPh sb="0" eb="2">
      <t>リッチ</t>
    </rPh>
    <rPh sb="2" eb="4">
      <t>バショ</t>
    </rPh>
    <rPh sb="5" eb="6">
      <t>チカ</t>
    </rPh>
    <rPh sb="7" eb="9">
      <t>スウチ</t>
    </rPh>
    <rPh sb="10" eb="12">
      <t>サイヨウ</t>
    </rPh>
    <phoneticPr fontId="1"/>
  </si>
  <si>
    <r>
      <rPr>
        <sz val="11"/>
        <color theme="1"/>
        <rFont val="ＭＳ Ｐゴシック"/>
        <family val="2"/>
      </rPr>
      <t>表－９　暑さ対策による省エネ効果算出結果表</t>
    </r>
    <rPh sb="11" eb="12">
      <t>ショウ</t>
    </rPh>
    <rPh sb="14" eb="16">
      <t>コウカ</t>
    </rPh>
    <rPh sb="16" eb="18">
      <t>サンシュツ</t>
    </rPh>
    <rPh sb="18" eb="20">
      <t>ケッカ</t>
    </rPh>
    <rPh sb="20" eb="21">
      <t>ヒョウ</t>
    </rPh>
    <phoneticPr fontId="1"/>
  </si>
  <si>
    <r>
      <rPr>
        <sz val="11"/>
        <color theme="1"/>
        <rFont val="ＭＳ Ｐゴシック"/>
        <family val="2"/>
      </rPr>
      <t>項目</t>
    </r>
    <rPh sb="0" eb="2">
      <t>コウモク</t>
    </rPh>
    <phoneticPr fontId="1"/>
  </si>
  <si>
    <r>
      <rPr>
        <sz val="11"/>
        <color theme="1"/>
        <rFont val="ＭＳ Ｐゴシック"/>
        <family val="2"/>
      </rPr>
      <t>単位</t>
    </r>
    <rPh sb="0" eb="2">
      <t>タンイ</t>
    </rPh>
    <phoneticPr fontId="1"/>
  </si>
  <si>
    <r>
      <rPr>
        <sz val="11"/>
        <color theme="1"/>
        <rFont val="ＭＳ Ｐゴシック"/>
        <family val="2"/>
      </rPr>
      <t>さいたま市</t>
    </r>
    <rPh sb="4" eb="5">
      <t>シ</t>
    </rPh>
    <phoneticPr fontId="1"/>
  </si>
  <si>
    <r>
      <rPr>
        <sz val="11"/>
        <color theme="1"/>
        <rFont val="ＭＳ Ｐゴシック"/>
        <family val="2"/>
      </rPr>
      <t>熊谷市</t>
    </r>
    <rPh sb="0" eb="3">
      <t>クマガヤシ</t>
    </rPh>
    <phoneticPr fontId="1"/>
  </si>
  <si>
    <r>
      <rPr>
        <sz val="11"/>
        <color theme="1"/>
        <rFont val="ＭＳ Ｐゴシック"/>
        <family val="2"/>
      </rPr>
      <t>秩父市</t>
    </r>
    <rPh sb="0" eb="3">
      <t>チチブシ</t>
    </rPh>
    <phoneticPr fontId="1"/>
  </si>
  <si>
    <r>
      <rPr>
        <sz val="11"/>
        <color theme="1"/>
        <rFont val="ＭＳ Ｐゴシック"/>
        <family val="2"/>
      </rPr>
      <t>消費電力削減量</t>
    </r>
    <rPh sb="0" eb="2">
      <t>ショウヒ</t>
    </rPh>
    <rPh sb="2" eb="4">
      <t>デンリョク</t>
    </rPh>
    <rPh sb="4" eb="6">
      <t>サクゲン</t>
    </rPh>
    <rPh sb="6" eb="7">
      <t>リョウ</t>
    </rPh>
    <phoneticPr fontId="1"/>
  </si>
  <si>
    <r>
      <t>CO2</t>
    </r>
    <r>
      <rPr>
        <sz val="11"/>
        <color theme="1"/>
        <rFont val="ＭＳ Ｐゴシック"/>
        <family val="2"/>
      </rPr>
      <t>削減量</t>
    </r>
    <rPh sb="3" eb="5">
      <t>サクゲン</t>
    </rPh>
    <rPh sb="5" eb="6">
      <t>リョウ</t>
    </rPh>
    <phoneticPr fontId="1"/>
  </si>
  <si>
    <r>
      <t>t-CO2/</t>
    </r>
    <r>
      <rPr>
        <sz val="11"/>
        <color theme="1"/>
        <rFont val="ＭＳ Ｐゴシック"/>
        <family val="2"/>
      </rPr>
      <t>年</t>
    </r>
    <rPh sb="6" eb="7">
      <t>ネン</t>
    </rPh>
    <phoneticPr fontId="1"/>
  </si>
  <si>
    <r>
      <rPr>
        <sz val="11"/>
        <color theme="1"/>
        <rFont val="ＭＳ Ｐゴシック"/>
        <family val="2"/>
      </rPr>
      <t>省エネ率</t>
    </r>
    <rPh sb="0" eb="1">
      <t>ショウ</t>
    </rPh>
    <rPh sb="3" eb="4">
      <t>リツ</t>
    </rPh>
    <phoneticPr fontId="1"/>
  </si>
  <si>
    <r>
      <rPr>
        <sz val="11"/>
        <color theme="1"/>
        <rFont val="ＭＳ Ｐゴシック"/>
        <family val="2"/>
      </rPr>
      <t>導入前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マエ</t>
    </rPh>
    <rPh sb="6" eb="7">
      <t>リョウ</t>
    </rPh>
    <phoneticPr fontId="1"/>
  </si>
  <si>
    <r>
      <rPr>
        <sz val="11"/>
        <color theme="1"/>
        <rFont val="ＭＳ Ｐゴシック"/>
        <family val="2"/>
      </rPr>
      <t>導入後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ゴ</t>
    </rPh>
    <rPh sb="6" eb="7">
      <t>リョウ</t>
    </rPh>
    <phoneticPr fontId="1"/>
  </si>
  <si>
    <r>
      <rPr>
        <sz val="11"/>
        <color theme="1"/>
        <rFont val="ＭＳ Ｐゴシック"/>
        <family val="2"/>
      </rPr>
      <t>導入前電力量</t>
    </r>
    <rPh sb="0" eb="2">
      <t>ドウニュウ</t>
    </rPh>
    <rPh sb="2" eb="3">
      <t>マエ</t>
    </rPh>
    <rPh sb="3" eb="5">
      <t>デンリョク</t>
    </rPh>
    <rPh sb="5" eb="6">
      <t>リョウ</t>
    </rPh>
    <phoneticPr fontId="1"/>
  </si>
  <si>
    <r>
      <rPr>
        <sz val="11"/>
        <color theme="1"/>
        <rFont val="ＭＳ Ｐゴシック"/>
        <family val="2"/>
      </rPr>
      <t>導入後電力量</t>
    </r>
    <rPh sb="0" eb="2">
      <t>ドウニュウ</t>
    </rPh>
    <rPh sb="2" eb="3">
      <t>ゴ</t>
    </rPh>
    <rPh sb="3" eb="5">
      <t>デンリョク</t>
    </rPh>
    <rPh sb="5" eb="6">
      <t>リョウ</t>
    </rPh>
    <phoneticPr fontId="1"/>
  </si>
  <si>
    <t>屋根について、対策を行わない場合は、数値を変更しない。対策を行う方位のみ、その数値に変更する。</t>
    <rPh sb="0" eb="2">
      <t>ヤネ</t>
    </rPh>
    <rPh sb="7" eb="9">
      <t>タイサク</t>
    </rPh>
    <rPh sb="10" eb="11">
      <t>オコナ</t>
    </rPh>
    <rPh sb="14" eb="16">
      <t>バアイ</t>
    </rPh>
    <rPh sb="18" eb="20">
      <t>スウチ</t>
    </rPh>
    <rPh sb="21" eb="23">
      <t>ヘンコウ</t>
    </rPh>
    <rPh sb="27" eb="29">
      <t>タイサク</t>
    </rPh>
    <rPh sb="30" eb="31">
      <t>オコナ</t>
    </rPh>
    <rPh sb="32" eb="34">
      <t>ホウイ</t>
    </rPh>
    <rPh sb="39" eb="41">
      <t>スウチ</t>
    </rPh>
    <rPh sb="42" eb="44">
      <t>ヘンコウ</t>
    </rPh>
    <phoneticPr fontId="1"/>
  </si>
  <si>
    <t>外壁について、対策を行わない方位の数値は変更しないこと。対策を行う方位のみ、その数値に変更する。</t>
    <rPh sb="0" eb="2">
      <t>ガイヘキ</t>
    </rPh>
    <rPh sb="7" eb="9">
      <t>タイサク</t>
    </rPh>
    <rPh sb="10" eb="11">
      <t>オコナ</t>
    </rPh>
    <rPh sb="14" eb="16">
      <t>ホウイ</t>
    </rPh>
    <rPh sb="17" eb="19">
      <t>スウチ</t>
    </rPh>
    <rPh sb="20" eb="22">
      <t>ヘンコウ</t>
    </rPh>
    <rPh sb="28" eb="30">
      <t>タイサク</t>
    </rPh>
    <rPh sb="31" eb="32">
      <t>オコナ</t>
    </rPh>
    <rPh sb="33" eb="35">
      <t>ホウイ</t>
    </rPh>
    <rPh sb="40" eb="42">
      <t>スウチ</t>
    </rPh>
    <rPh sb="43" eb="45">
      <t>ヘンコウ</t>
    </rPh>
    <phoneticPr fontId="1"/>
  </si>
  <si>
    <r>
      <rPr>
        <sz val="9"/>
        <color theme="1"/>
        <rFont val="ＭＳ Ｐゴシック"/>
        <family val="2"/>
      </rPr>
      <t>部位</t>
    </r>
    <rPh sb="0" eb="2">
      <t>ブイ</t>
    </rPh>
    <phoneticPr fontId="1"/>
  </si>
  <si>
    <r>
      <rPr>
        <sz val="9"/>
        <color theme="1"/>
        <rFont val="ＭＳ Ｐゴシック"/>
        <family val="2"/>
      </rPr>
      <t>方位</t>
    </r>
    <rPh sb="0" eb="2">
      <t>ホウイ</t>
    </rPh>
    <phoneticPr fontId="1"/>
  </si>
  <si>
    <r>
      <rPr>
        <sz val="9"/>
        <color theme="1"/>
        <rFont val="ＭＳ Ｐゴシック"/>
        <family val="2"/>
      </rPr>
      <t>窓対策の内容</t>
    </r>
    <rPh sb="0" eb="1">
      <t>マド</t>
    </rPh>
    <rPh sb="1" eb="3">
      <t>タイサク</t>
    </rPh>
    <rPh sb="4" eb="6">
      <t>ナイヨウ</t>
    </rPh>
    <phoneticPr fontId="1"/>
  </si>
  <si>
    <r>
      <rPr>
        <sz val="9"/>
        <color theme="1"/>
        <rFont val="ＭＳ Ｐゴシック"/>
        <family val="3"/>
        <charset val="128"/>
      </rPr>
      <t>部位</t>
    </r>
    <rPh sb="0" eb="2">
      <t>ブイ</t>
    </rPh>
    <phoneticPr fontId="1"/>
  </si>
  <si>
    <r>
      <rPr>
        <sz val="9"/>
        <color theme="1"/>
        <rFont val="ＭＳ Ｐゴシック"/>
        <family val="3"/>
        <charset val="128"/>
      </rPr>
      <t>方位</t>
    </r>
    <rPh sb="0" eb="2">
      <t>ホウイ</t>
    </rPh>
    <phoneticPr fontId="1"/>
  </si>
  <si>
    <r>
      <rPr>
        <sz val="9"/>
        <color theme="1"/>
        <rFont val="ＭＳ Ｐゴシック"/>
        <family val="3"/>
        <charset val="128"/>
      </rPr>
      <t>日射吸収率</t>
    </r>
    <rPh sb="0" eb="2">
      <t>ニッシャ</t>
    </rPh>
    <rPh sb="2" eb="4">
      <t>キュウシュウ</t>
    </rPh>
    <rPh sb="4" eb="5">
      <t>リツ</t>
    </rPh>
    <phoneticPr fontId="1"/>
  </si>
  <si>
    <r>
      <rPr>
        <sz val="9"/>
        <color theme="1"/>
        <rFont val="ＭＳ Ｐゴシック"/>
        <family val="3"/>
        <charset val="128"/>
      </rPr>
      <t>熱貫流率</t>
    </r>
    <rPh sb="0" eb="1">
      <t>ネツ</t>
    </rPh>
    <rPh sb="1" eb="3">
      <t>カンリュウ</t>
    </rPh>
    <rPh sb="3" eb="4">
      <t>リツ</t>
    </rPh>
    <phoneticPr fontId="1"/>
  </si>
  <si>
    <t>K</t>
    <phoneticPr fontId="1"/>
  </si>
  <si>
    <t>K</t>
    <phoneticPr fontId="1"/>
  </si>
  <si>
    <t>K</t>
    <phoneticPr fontId="1"/>
  </si>
  <si>
    <t>表－１　対象建築物の年間消費電力入力表（参考）</t>
    <rPh sb="0" eb="1">
      <t>ヒョウ</t>
    </rPh>
    <rPh sb="4" eb="6">
      <t>タイショウ</t>
    </rPh>
    <rPh sb="6" eb="9">
      <t>ケンチクブツ</t>
    </rPh>
    <rPh sb="10" eb="12">
      <t>ネンカン</t>
    </rPh>
    <rPh sb="12" eb="14">
      <t>ショウヒ</t>
    </rPh>
    <rPh sb="14" eb="16">
      <t>デンリョク</t>
    </rPh>
    <rPh sb="16" eb="18">
      <t>ニュウリョク</t>
    </rPh>
    <rPh sb="18" eb="19">
      <t>ヒョウ</t>
    </rPh>
    <rPh sb="20" eb="22">
      <t>サンコウ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</si>
  <si>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21"/>
  </si>
  <si>
    <t>連絡先・
書類送付先</t>
    <rPh sb="0" eb="3">
      <t>レンラクサキ</t>
    </rPh>
    <rPh sb="5" eb="7">
      <t>ショルイ</t>
    </rPh>
    <rPh sb="7" eb="9">
      <t>ソウフ</t>
    </rPh>
    <rPh sb="9" eb="10">
      <t>サキ</t>
    </rPh>
    <phoneticPr fontId="21"/>
  </si>
  <si>
    <t>書類送付住所</t>
    <rPh sb="0" eb="2">
      <t>ショルイ</t>
    </rPh>
    <rPh sb="2" eb="4">
      <t>ソウフ</t>
    </rPh>
    <rPh sb="4" eb="6">
      <t>ジュウショ</t>
    </rPh>
    <phoneticPr fontId="21"/>
  </si>
  <si>
    <t>産業分類（大分類）</t>
    <rPh sb="0" eb="2">
      <t>サンギョウ</t>
    </rPh>
    <rPh sb="2" eb="4">
      <t>ブンルイ</t>
    </rPh>
    <rPh sb="5" eb="8">
      <t>ダイブンルイ</t>
    </rPh>
    <phoneticPr fontId="1"/>
  </si>
  <si>
    <t>Ｒ サービス業（他に分類されないもの）</t>
  </si>
  <si>
    <t>Ａ_農業，林業</t>
  </si>
  <si>
    <t>Ｂ_漁業</t>
  </si>
  <si>
    <t>Ｃ_鉱業，採石業，砂利採取業</t>
  </si>
  <si>
    <t>Ｄ_建設業</t>
  </si>
  <si>
    <t>Ｅ_製造業</t>
  </si>
  <si>
    <t>Ｆ_電気・ガス・熱供給・水道業</t>
  </si>
  <si>
    <t>Ｇ_情報通信業</t>
  </si>
  <si>
    <t>Ｈ_運輸業，郵便業</t>
  </si>
  <si>
    <t>Ｉ_卸売業，小売業</t>
  </si>
  <si>
    <t>Ｊ_金融業，保険業</t>
  </si>
  <si>
    <t>Ｋ_不動産業，物品賃貸業</t>
  </si>
  <si>
    <t>Ｌ_学術研究，専門・技術サービス業</t>
  </si>
  <si>
    <t>Ｍ_宿泊業，飲食サービス業</t>
  </si>
  <si>
    <t>Ｎ_生活関連サービス業，娯楽業</t>
  </si>
  <si>
    <t>Ｏ_教育，学習支援業</t>
  </si>
  <si>
    <t>Ｐ_医療，福祉</t>
  </si>
  <si>
    <t>Ｑ_複合サービス事業</t>
  </si>
  <si>
    <r>
      <rPr>
        <b/>
        <sz val="14"/>
        <color theme="1"/>
        <rFont val="ＭＳ Ｐゴシック"/>
        <family val="3"/>
        <charset val="128"/>
      </rPr>
      <t>計算結果</t>
    </r>
    <rPh sb="0" eb="2">
      <t>ケイサン</t>
    </rPh>
    <rPh sb="2" eb="4">
      <t>ケッカ</t>
    </rPh>
    <phoneticPr fontId="1"/>
  </si>
  <si>
    <r>
      <rPr>
        <sz val="11"/>
        <color theme="1"/>
        <rFont val="ＭＳ Ｐゴシック"/>
        <family val="2"/>
      </rPr>
      <t>作成日</t>
    </r>
    <rPh sb="0" eb="3">
      <t>サクセイビ</t>
    </rPh>
    <phoneticPr fontId="1"/>
  </si>
  <si>
    <r>
      <rPr>
        <sz val="11"/>
        <color theme="1"/>
        <rFont val="ＭＳ Ｐゴシック"/>
        <family val="2"/>
      </rPr>
      <t>対策事業名</t>
    </r>
    <rPh sb="0" eb="2">
      <t>タイサク</t>
    </rPh>
    <rPh sb="2" eb="4">
      <t>ジギョウ</t>
    </rPh>
    <rPh sb="3" eb="4">
      <t>コウジ</t>
    </rPh>
    <rPh sb="4" eb="5">
      <t>メイ</t>
    </rPh>
    <phoneticPr fontId="1"/>
  </si>
  <si>
    <r>
      <rPr>
        <sz val="11"/>
        <color theme="1"/>
        <rFont val="ＭＳ Ｐゴシック"/>
        <family val="2"/>
      </rPr>
      <t>設置工事場所</t>
    </r>
    <phoneticPr fontId="1"/>
  </si>
  <si>
    <r>
      <rPr>
        <sz val="11"/>
        <color theme="1"/>
        <rFont val="ＭＳ Ｐゴシック"/>
        <family val="2"/>
      </rPr>
      <t>年間消費電力量</t>
    </r>
    <rPh sb="0" eb="2">
      <t>ネンカン</t>
    </rPh>
    <rPh sb="2" eb="4">
      <t>ショウヒ</t>
    </rPh>
    <rPh sb="4" eb="6">
      <t>デンリョク</t>
    </rPh>
    <rPh sb="6" eb="7">
      <t>リョウ</t>
    </rPh>
    <phoneticPr fontId="1"/>
  </si>
  <si>
    <r>
      <rPr>
        <sz val="9"/>
        <color theme="1"/>
        <rFont val="ＭＳ Ｐゴシック"/>
        <family val="2"/>
      </rPr>
      <t>気象台観測点</t>
    </r>
    <rPh sb="0" eb="3">
      <t>キショウダイ</t>
    </rPh>
    <rPh sb="3" eb="6">
      <t>カンソクテン</t>
    </rPh>
    <phoneticPr fontId="1"/>
  </si>
  <si>
    <r>
      <rPr>
        <sz val="11"/>
        <color theme="1"/>
        <rFont val="ＭＳ Ｐゴシック"/>
        <family val="2"/>
      </rPr>
      <t>操業・営業時間</t>
    </r>
    <rPh sb="0" eb="2">
      <t>ソウギョウ</t>
    </rPh>
    <rPh sb="3" eb="5">
      <t>エイギョウ</t>
    </rPh>
    <rPh sb="5" eb="7">
      <t>ジカン</t>
    </rPh>
    <phoneticPr fontId="1"/>
  </si>
  <si>
    <r>
      <t>h/</t>
    </r>
    <r>
      <rPr>
        <sz val="11"/>
        <color theme="1"/>
        <rFont val="ＭＳ Ｐゴシック"/>
        <family val="2"/>
      </rPr>
      <t>日</t>
    </r>
    <rPh sb="2" eb="3">
      <t>ニチ</t>
    </rPh>
    <phoneticPr fontId="1"/>
  </si>
  <si>
    <r>
      <rPr>
        <sz val="11"/>
        <color theme="1"/>
        <rFont val="ＭＳ Ｐゴシック"/>
        <family val="2"/>
      </rPr>
      <t>日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2"/>
      </rPr>
      <t>月</t>
    </r>
    <rPh sb="0" eb="1">
      <t>ニチ</t>
    </rPh>
    <rPh sb="2" eb="3">
      <t>ツキ</t>
    </rPh>
    <phoneticPr fontId="1"/>
  </si>
  <si>
    <r>
      <rPr>
        <sz val="11"/>
        <color theme="1"/>
        <rFont val="ＭＳ Ｐゴシック"/>
        <family val="2"/>
      </rPr>
      <t>導入前年間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マエ</t>
    </rPh>
    <rPh sb="3" eb="5">
      <t>ネンカン</t>
    </rPh>
    <rPh sb="8" eb="9">
      <t>リョウ</t>
    </rPh>
    <phoneticPr fontId="1"/>
  </si>
  <si>
    <r>
      <rPr>
        <sz val="11"/>
        <color theme="1"/>
        <rFont val="ＭＳ Ｐゴシック"/>
        <family val="2"/>
      </rPr>
      <t>削減可能熱量</t>
    </r>
    <rPh sb="0" eb="2">
      <t>サクゲン</t>
    </rPh>
    <rPh sb="2" eb="4">
      <t>カノウ</t>
    </rPh>
    <rPh sb="4" eb="6">
      <t>ネツリョウ</t>
    </rPh>
    <phoneticPr fontId="1"/>
  </si>
  <si>
    <r>
      <rPr>
        <sz val="11"/>
        <color theme="1"/>
        <rFont val="ＭＳ Ｐゴシック"/>
        <family val="2"/>
      </rPr>
      <t>冷房</t>
    </r>
    <rPh sb="0" eb="2">
      <t>レイボウ</t>
    </rPh>
    <phoneticPr fontId="1"/>
  </si>
  <si>
    <r>
      <rPr>
        <sz val="11"/>
        <color theme="1"/>
        <rFont val="ＭＳ Ｐゴシック"/>
        <family val="2"/>
      </rPr>
      <t>導入後年間</t>
    </r>
    <r>
      <rPr>
        <sz val="11"/>
        <color theme="1"/>
        <rFont val="Arial"/>
        <family val="2"/>
      </rPr>
      <t>CO2</t>
    </r>
    <r>
      <rPr>
        <sz val="11"/>
        <color theme="1"/>
        <rFont val="ＭＳ Ｐゴシック"/>
        <family val="2"/>
      </rPr>
      <t>量</t>
    </r>
    <rPh sb="0" eb="2">
      <t>ドウニュウ</t>
    </rPh>
    <rPh sb="2" eb="3">
      <t>ゴ</t>
    </rPh>
    <rPh sb="3" eb="5">
      <t>ネンカン</t>
    </rPh>
    <rPh sb="8" eb="9">
      <t>リョウ</t>
    </rPh>
    <phoneticPr fontId="1"/>
  </si>
  <si>
    <r>
      <rPr>
        <sz val="11"/>
        <color theme="1"/>
        <rFont val="ＭＳ Ｐゴシック"/>
        <family val="2"/>
      </rPr>
      <t>暖房</t>
    </r>
    <rPh sb="0" eb="2">
      <t>ダンボウ</t>
    </rPh>
    <phoneticPr fontId="1"/>
  </si>
  <si>
    <r>
      <rPr>
        <b/>
        <sz val="11"/>
        <color theme="1"/>
        <rFont val="ＭＳ Ｐゴシック"/>
        <family val="3"/>
        <charset val="128"/>
      </rPr>
      <t>年間</t>
    </r>
    <r>
      <rPr>
        <b/>
        <sz val="11"/>
        <color theme="1"/>
        <rFont val="Arial"/>
        <family val="2"/>
      </rPr>
      <t>CO2</t>
    </r>
    <r>
      <rPr>
        <b/>
        <sz val="11"/>
        <color theme="1"/>
        <rFont val="ＭＳ Ｐゴシック"/>
        <family val="3"/>
        <charset val="128"/>
      </rPr>
      <t>排出削減量</t>
    </r>
    <rPh sb="0" eb="2">
      <t>ネンカン</t>
    </rPh>
    <rPh sb="5" eb="7">
      <t>ハイシュツ</t>
    </rPh>
    <rPh sb="7" eb="9">
      <t>サクゲン</t>
    </rPh>
    <rPh sb="9" eb="10">
      <t>リョウ</t>
    </rPh>
    <phoneticPr fontId="1"/>
  </si>
  <si>
    <r>
      <rPr>
        <b/>
        <sz val="11"/>
        <color theme="1"/>
        <rFont val="ＭＳ Ｐゴシック"/>
        <family val="3"/>
        <charset val="128"/>
      </rPr>
      <t>年間消費電力削減量</t>
    </r>
    <rPh sb="0" eb="2">
      <t>ネンカン</t>
    </rPh>
    <rPh sb="2" eb="4">
      <t>ショウヒ</t>
    </rPh>
    <rPh sb="4" eb="6">
      <t>デンリョク</t>
    </rPh>
    <rPh sb="6" eb="8">
      <t>サクゲン</t>
    </rPh>
    <rPh sb="8" eb="9">
      <t>リョウ</t>
    </rPh>
    <phoneticPr fontId="1"/>
  </si>
  <si>
    <r>
      <rPr>
        <sz val="10"/>
        <color theme="1"/>
        <rFont val="ＭＳ Ｐゴシック"/>
        <family val="2"/>
      </rPr>
      <t>　屋根の熱貫流率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</si>
  <si>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</si>
  <si>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rPr>
        <sz val="10"/>
        <color theme="1"/>
        <rFont val="ＭＳ Ｐゴシック"/>
        <family val="2"/>
      </rPr>
      <t>遮熱塗装の日射熱吸収率</t>
    </r>
    <rPh sb="7" eb="8">
      <t>ネツ</t>
    </rPh>
    <phoneticPr fontId="1"/>
  </si>
  <si>
    <r>
      <rPr>
        <b/>
        <sz val="11"/>
        <color theme="1"/>
        <rFont val="ＭＳ Ｐゴシック"/>
        <family val="3"/>
        <charset val="128"/>
      </rPr>
      <t>省エネ率</t>
    </r>
    <rPh sb="0" eb="1">
      <t>ショウ</t>
    </rPh>
    <rPh sb="3" eb="4">
      <t>リツ</t>
    </rPh>
    <phoneticPr fontId="1"/>
  </si>
  <si>
    <r>
      <rPr>
        <sz val="11"/>
        <color theme="1"/>
        <rFont val="ＭＳ Ｐゴシック"/>
        <family val="2"/>
      </rPr>
      <t>外壁の諸係数</t>
    </r>
    <rPh sb="0" eb="2">
      <t>ガイヘキ</t>
    </rPh>
    <rPh sb="3" eb="4">
      <t>ショ</t>
    </rPh>
    <rPh sb="4" eb="6">
      <t>ケイスウ</t>
    </rPh>
    <phoneticPr fontId="1"/>
  </si>
  <si>
    <r>
      <rPr>
        <sz val="11"/>
        <color theme="1"/>
        <rFont val="ＭＳ Ｐゴシック"/>
        <family val="2"/>
      </rPr>
      <t>窓の諸係数</t>
    </r>
    <rPh sb="2" eb="3">
      <t>ショ</t>
    </rPh>
    <rPh sb="3" eb="5">
      <t>ケイスウ</t>
    </rPh>
    <phoneticPr fontId="1"/>
  </si>
  <si>
    <r>
      <rPr>
        <sz val="11"/>
        <color theme="1"/>
        <rFont val="ＭＳ Ｐゴシック"/>
        <family val="2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</si>
  <si>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</si>
  <si>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</si>
  <si>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</si>
  <si>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</si>
  <si>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</si>
  <si>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t>W/(m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K)</t>
    </r>
    <phoneticPr fontId="1"/>
  </si>
  <si>
    <r>
      <rPr>
        <b/>
        <sz val="14"/>
        <color theme="1"/>
        <rFont val="ＭＳ Ｐゴシック"/>
        <family val="3"/>
        <charset val="128"/>
      </rPr>
      <t>表－１　暑さ対策導入前の冷暖房熱負荷計算</t>
    </r>
    <rPh sb="0" eb="1">
      <t>ヒョウ</t>
    </rPh>
    <rPh sb="4" eb="5">
      <t>アツ</t>
    </rPh>
    <rPh sb="6" eb="8">
      <t>タイサク</t>
    </rPh>
    <rPh sb="8" eb="10">
      <t>ドウニュウ</t>
    </rPh>
    <rPh sb="10" eb="11">
      <t>マエ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</si>
  <si>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r>
      <rPr>
        <sz val="11"/>
        <color theme="1"/>
        <rFont val="ＭＳ Ｐゴシック"/>
        <family val="2"/>
      </rPr>
      <t>種別</t>
    </r>
    <rPh sb="0" eb="2">
      <t>シュベツ</t>
    </rPh>
    <phoneticPr fontId="1"/>
  </si>
  <si>
    <r>
      <rPr>
        <sz val="11"/>
        <color theme="1"/>
        <rFont val="ＭＳ Ｐゴシック"/>
        <family val="2"/>
      </rPr>
      <t>共通事項</t>
    </r>
    <rPh sb="0" eb="2">
      <t>キョウツウ</t>
    </rPh>
    <rPh sb="2" eb="4">
      <t>ジコウ</t>
    </rPh>
    <phoneticPr fontId="1"/>
  </si>
  <si>
    <r>
      <rPr>
        <sz val="11"/>
        <color theme="1"/>
        <rFont val="ＭＳ Ｐゴシック"/>
        <family val="2"/>
      </rPr>
      <t>冷房負荷</t>
    </r>
    <rPh sb="0" eb="2">
      <t>レイボウ</t>
    </rPh>
    <rPh sb="2" eb="4">
      <t>フカ</t>
    </rPh>
    <phoneticPr fontId="1"/>
  </si>
  <si>
    <r>
      <rPr>
        <sz val="11"/>
        <color theme="1"/>
        <rFont val="ＭＳ Ｐゴシック"/>
        <family val="2"/>
      </rPr>
      <t>暖房負荷</t>
    </r>
    <rPh sb="0" eb="2">
      <t>ダンボウ</t>
    </rPh>
    <rPh sb="2" eb="4">
      <t>フカ</t>
    </rPh>
    <phoneticPr fontId="1"/>
  </si>
  <si>
    <r>
      <rPr>
        <sz val="10"/>
        <color theme="1"/>
        <rFont val="ＭＳ Ｐゴシック"/>
        <family val="2"/>
      </rPr>
      <t>施工面積</t>
    </r>
    <rPh sb="0" eb="2">
      <t>セコウ</t>
    </rPh>
    <rPh sb="2" eb="4">
      <t>メンセキ</t>
    </rPh>
    <phoneticPr fontId="1"/>
  </si>
  <si>
    <r>
      <t>9</t>
    </r>
    <r>
      <rPr>
        <sz val="11"/>
        <color theme="1"/>
        <rFont val="ＭＳ Ｐゴシック"/>
        <family val="2"/>
      </rPr>
      <t>時</t>
    </r>
    <rPh sb="1" eb="2">
      <t>ジ</t>
    </rPh>
    <phoneticPr fontId="1"/>
  </si>
  <si>
    <r>
      <t>12</t>
    </r>
    <r>
      <rPr>
        <sz val="11"/>
        <color theme="1"/>
        <rFont val="ＭＳ Ｐゴシック"/>
        <family val="2"/>
      </rPr>
      <t>時</t>
    </r>
    <rPh sb="2" eb="3">
      <t>ジ</t>
    </rPh>
    <phoneticPr fontId="1"/>
  </si>
  <si>
    <r>
      <t>15</t>
    </r>
    <r>
      <rPr>
        <sz val="11"/>
        <color theme="1"/>
        <rFont val="ＭＳ Ｐゴシック"/>
        <family val="2"/>
      </rPr>
      <t>時</t>
    </r>
    <rPh sb="2" eb="3">
      <t>ジ</t>
    </rPh>
    <phoneticPr fontId="1"/>
  </si>
  <si>
    <r>
      <rPr>
        <sz val="11"/>
        <color theme="1"/>
        <rFont val="ＭＳ Ｐゴシック"/>
        <family val="2"/>
      </rPr>
      <t>温度差</t>
    </r>
    <rPh sb="0" eb="3">
      <t>オンドサ</t>
    </rPh>
    <phoneticPr fontId="1"/>
  </si>
  <si>
    <r>
      <rPr>
        <sz val="11"/>
        <color theme="1"/>
        <rFont val="ＭＳ Ｐゴシック"/>
        <family val="2"/>
      </rPr>
      <t>方位係数</t>
    </r>
    <rPh sb="0" eb="2">
      <t>ホウイ</t>
    </rPh>
    <rPh sb="2" eb="4">
      <t>ケイスウ</t>
    </rPh>
    <phoneticPr fontId="1"/>
  </si>
  <si>
    <r>
      <rPr>
        <sz val="11"/>
        <color theme="1"/>
        <rFont val="ＭＳ Ｐゴシック"/>
        <family val="2"/>
      </rPr>
      <t>方位
係数</t>
    </r>
    <rPh sb="0" eb="2">
      <t>ホウイ</t>
    </rPh>
    <rPh sb="3" eb="5">
      <t>ケイスウ</t>
    </rPh>
    <phoneticPr fontId="1"/>
  </si>
  <si>
    <r>
      <rPr>
        <sz val="11"/>
        <color theme="1"/>
        <rFont val="ＭＳ Ｐゴシック"/>
        <family val="2"/>
      </rPr>
      <t>温度差</t>
    </r>
    <rPh sb="0" eb="2">
      <t>オンド</t>
    </rPh>
    <rPh sb="2" eb="3">
      <t>サ</t>
    </rPh>
    <phoneticPr fontId="1"/>
  </si>
  <si>
    <r>
      <rPr>
        <sz val="11"/>
        <color theme="1"/>
        <rFont val="ＭＳ Ｐゴシック"/>
        <family val="2"/>
      </rPr>
      <t>実効温度差</t>
    </r>
    <rPh sb="0" eb="2">
      <t>ジッコウ</t>
    </rPh>
    <rPh sb="2" eb="5">
      <t>オンドサ</t>
    </rPh>
    <phoneticPr fontId="1"/>
  </si>
  <si>
    <r>
      <t>m</t>
    </r>
    <r>
      <rPr>
        <vertAlign val="superscript"/>
        <sz val="11"/>
        <color theme="1"/>
        <rFont val="Arial"/>
        <family val="2"/>
      </rPr>
      <t>2</t>
    </r>
    <phoneticPr fontId="1"/>
  </si>
  <si>
    <r>
      <t>W/(m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K)</t>
    </r>
    <phoneticPr fontId="1"/>
  </si>
  <si>
    <r>
      <rPr>
        <sz val="11"/>
        <color theme="1"/>
        <rFont val="ＭＳ Ｐゴシック"/>
        <family val="2"/>
      </rPr>
      <t>℃</t>
    </r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</si>
  <si>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</si>
  <si>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rPr>
        <sz val="11"/>
        <color theme="1"/>
        <rFont val="ＭＳ Ｐゴシック"/>
        <family val="2"/>
      </rPr>
      <t>熱貫流</t>
    </r>
    <rPh sb="0" eb="1">
      <t>ネツ</t>
    </rPh>
    <rPh sb="1" eb="3">
      <t>カンリュウ</t>
    </rPh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</si>
  <si>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</si>
  <si>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rPr>
        <sz val="11"/>
        <color theme="1"/>
        <rFont val="ＭＳ Ｐゴシック"/>
        <family val="2"/>
      </rPr>
      <t>標準日射取得</t>
    </r>
    <rPh sb="0" eb="2">
      <t>ヒョウジュン</t>
    </rPh>
    <rPh sb="2" eb="4">
      <t>ニッシャ</t>
    </rPh>
    <rPh sb="4" eb="6">
      <t>シュトク</t>
    </rPh>
    <phoneticPr fontId="1"/>
  </si>
  <si>
    <r>
      <t>m</t>
    </r>
    <r>
      <rPr>
        <vertAlign val="superscript"/>
        <sz val="11"/>
        <color theme="1"/>
        <rFont val="Arial"/>
        <family val="2"/>
      </rPr>
      <t>2</t>
    </r>
    <phoneticPr fontId="1"/>
  </si>
  <si>
    <r>
      <rPr>
        <sz val="11"/>
        <color theme="1"/>
        <rFont val="ＭＳ Ｐゴシック"/>
        <family val="2"/>
      </rPr>
      <t>－</t>
    </r>
    <phoneticPr fontId="1"/>
  </si>
  <si>
    <r>
      <t>W/m</t>
    </r>
    <r>
      <rPr>
        <vertAlign val="superscript"/>
        <sz val="11"/>
        <color theme="1"/>
        <rFont val="Arial"/>
        <family val="2"/>
      </rPr>
      <t>2</t>
    </r>
    <phoneticPr fontId="1"/>
  </si>
  <si>
    <r>
      <rPr>
        <sz val="11"/>
        <color theme="1"/>
        <rFont val="ＭＳ Ｐゴシック"/>
        <family val="2"/>
      </rPr>
      <t>日射</t>
    </r>
    <rPh sb="0" eb="2">
      <t>ニッシャ</t>
    </rPh>
    <phoneticPr fontId="1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</si>
  <si>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1"/>
  </si>
  <si>
    <r>
      <rPr>
        <b/>
        <sz val="14"/>
        <color theme="1"/>
        <rFont val="ＭＳ Ｐゴシック"/>
        <family val="3"/>
        <charset val="128"/>
      </rPr>
      <t>表－２　暑さ対策導入後の冷暖房熱負荷計算</t>
    </r>
    <rPh sb="0" eb="1">
      <t>ヒョウ</t>
    </rPh>
    <rPh sb="4" eb="5">
      <t>アツ</t>
    </rPh>
    <rPh sb="6" eb="8">
      <t>タイサク</t>
    </rPh>
    <rPh sb="8" eb="10">
      <t>ドウニュウ</t>
    </rPh>
    <rPh sb="10" eb="11">
      <t>ゴ</t>
    </rPh>
    <rPh sb="12" eb="15">
      <t>レイダンボウ</t>
    </rPh>
    <rPh sb="15" eb="16">
      <t>ネツ</t>
    </rPh>
    <rPh sb="16" eb="18">
      <t>フカ</t>
    </rPh>
    <rPh sb="18" eb="20">
      <t>ケイサン</t>
    </rPh>
    <phoneticPr fontId="1"/>
  </si>
  <si>
    <r>
      <rPr>
        <b/>
        <sz val="14"/>
        <color theme="1"/>
        <rFont val="ＭＳ Ｐゴシック"/>
        <family val="3"/>
        <charset val="128"/>
      </rPr>
      <t>表－３　暑さ対策前後の冷暖房熱負荷削減量</t>
    </r>
    <rPh sb="0" eb="1">
      <t>ヒョウ</t>
    </rPh>
    <rPh sb="4" eb="5">
      <t>アツ</t>
    </rPh>
    <rPh sb="6" eb="8">
      <t>タイサク</t>
    </rPh>
    <rPh sb="8" eb="10">
      <t>ゼンゴ</t>
    </rPh>
    <rPh sb="11" eb="14">
      <t>レイダンボウ</t>
    </rPh>
    <rPh sb="14" eb="15">
      <t>ネツ</t>
    </rPh>
    <rPh sb="15" eb="17">
      <t>フカ</t>
    </rPh>
    <rPh sb="17" eb="19">
      <t>サクゲン</t>
    </rPh>
    <rPh sb="19" eb="20">
      <t>リョウ</t>
    </rPh>
    <phoneticPr fontId="1"/>
  </si>
  <si>
    <r>
      <rPr>
        <sz val="11"/>
        <color theme="1"/>
        <rFont val="ＭＳ Ｐゴシック"/>
        <family val="3"/>
        <charset val="128"/>
      </rPr>
      <t>冷房負荷（</t>
    </r>
    <r>
      <rPr>
        <sz val="11"/>
        <color theme="1"/>
        <rFont val="Arial"/>
        <family val="2"/>
      </rPr>
      <t>W)</t>
    </r>
    <rPh sb="0" eb="2">
      <t>レイボウ</t>
    </rPh>
    <rPh sb="2" eb="4">
      <t>フカ</t>
    </rPh>
    <phoneticPr fontId="1"/>
  </si>
  <si>
    <r>
      <rPr>
        <sz val="11"/>
        <color theme="1"/>
        <rFont val="ＭＳ Ｐゴシック"/>
        <family val="3"/>
        <charset val="128"/>
      </rPr>
      <t>暖房負荷（</t>
    </r>
    <r>
      <rPr>
        <sz val="11"/>
        <color theme="1"/>
        <rFont val="Arial"/>
        <family val="2"/>
      </rPr>
      <t>W)</t>
    </r>
    <rPh sb="0" eb="2">
      <t>ダンボウ</t>
    </rPh>
    <rPh sb="2" eb="4">
      <t>フカ</t>
    </rPh>
    <phoneticPr fontId="1"/>
  </si>
  <si>
    <r>
      <t>9</t>
    </r>
    <r>
      <rPr>
        <sz val="11"/>
        <color theme="1"/>
        <rFont val="ＭＳ Ｐゴシック"/>
        <family val="3"/>
        <charset val="128"/>
      </rPr>
      <t>時</t>
    </r>
    <rPh sb="1" eb="2">
      <t>ジ</t>
    </rPh>
    <phoneticPr fontId="1"/>
  </si>
  <si>
    <r>
      <t>12</t>
    </r>
    <r>
      <rPr>
        <sz val="11"/>
        <color theme="1"/>
        <rFont val="ＭＳ Ｐゴシック"/>
        <family val="3"/>
        <charset val="128"/>
      </rPr>
      <t>時</t>
    </r>
    <rPh sb="2" eb="3">
      <t>ジ</t>
    </rPh>
    <phoneticPr fontId="1"/>
  </si>
  <si>
    <r>
      <t>15</t>
    </r>
    <r>
      <rPr>
        <sz val="11"/>
        <color theme="1"/>
        <rFont val="ＭＳ Ｐゴシック"/>
        <family val="3"/>
        <charset val="128"/>
      </rPr>
      <t>時</t>
    </r>
    <rPh sb="2" eb="3">
      <t>ジ</t>
    </rPh>
    <phoneticPr fontId="1"/>
  </si>
  <si>
    <r>
      <rPr>
        <sz val="11"/>
        <color theme="1"/>
        <rFont val="ＭＳ Ｐゴシック"/>
        <family val="3"/>
        <charset val="128"/>
      </rPr>
      <t>表－１の結果</t>
    </r>
    <rPh sb="0" eb="1">
      <t>ヒョウ</t>
    </rPh>
    <rPh sb="4" eb="6">
      <t>ケッカ</t>
    </rPh>
    <phoneticPr fontId="1"/>
  </si>
  <si>
    <r>
      <rPr>
        <sz val="11"/>
        <color theme="1"/>
        <rFont val="ＭＳ Ｐゴシック"/>
        <family val="3"/>
        <charset val="128"/>
      </rPr>
      <t>表－２の結果</t>
    </r>
    <rPh sb="0" eb="1">
      <t>ヒョウ</t>
    </rPh>
    <rPh sb="4" eb="6">
      <t>ケッカ</t>
    </rPh>
    <phoneticPr fontId="1"/>
  </si>
  <si>
    <r>
      <rPr>
        <sz val="11"/>
        <color theme="1"/>
        <rFont val="ＭＳ Ｐゴシック"/>
        <family val="3"/>
        <charset val="128"/>
      </rPr>
      <t>削減が見込める熱量</t>
    </r>
    <rPh sb="0" eb="2">
      <t>サクゲン</t>
    </rPh>
    <rPh sb="3" eb="5">
      <t>ミコ</t>
    </rPh>
    <rPh sb="7" eb="9">
      <t>ネツリョウ</t>
    </rPh>
    <phoneticPr fontId="1"/>
  </si>
  <si>
    <r>
      <rPr>
        <sz val="11"/>
        <color theme="1"/>
        <rFont val="ＭＳ Ｐゴシック"/>
        <family val="3"/>
        <charset val="128"/>
      </rPr>
      <t>採用値</t>
    </r>
    <rPh sb="0" eb="2">
      <t>サイヨウ</t>
    </rPh>
    <rPh sb="2" eb="3">
      <t>アタイ</t>
    </rPh>
    <phoneticPr fontId="1"/>
  </si>
  <si>
    <r>
      <rPr>
        <sz val="11"/>
        <color theme="1"/>
        <rFont val="ＭＳ Ｐゴシック"/>
        <family val="2"/>
      </rPr>
      <t>導入前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</rPr>
      <t>推定空調電力量</t>
    </r>
    <rPh sb="0" eb="2">
      <t>ドウニュウ</t>
    </rPh>
    <rPh sb="2" eb="3">
      <t>マエ</t>
    </rPh>
    <rPh sb="4" eb="6">
      <t>スイテイ</t>
    </rPh>
    <rPh sb="6" eb="8">
      <t>クウチョウ</t>
    </rPh>
    <rPh sb="8" eb="10">
      <t>デンリョク</t>
    </rPh>
    <rPh sb="10" eb="11">
      <t>リョウ</t>
    </rPh>
    <phoneticPr fontId="1"/>
  </si>
  <si>
    <r>
      <rPr>
        <sz val="11"/>
        <color theme="1"/>
        <rFont val="ＭＳ Ｐゴシック"/>
        <family val="2"/>
      </rPr>
      <t>導入後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2"/>
      </rPr>
      <t>推定空調電力量</t>
    </r>
    <rPh sb="0" eb="2">
      <t>ドウニュウ</t>
    </rPh>
    <rPh sb="2" eb="3">
      <t>ゴ</t>
    </rPh>
    <rPh sb="4" eb="6">
      <t>スイテイ</t>
    </rPh>
    <rPh sb="6" eb="8">
      <t>クウチョウ</t>
    </rPh>
    <rPh sb="8" eb="10">
      <t>デンリョク</t>
    </rPh>
    <rPh sb="10" eb="11">
      <t>リョウ</t>
    </rPh>
    <phoneticPr fontId="1"/>
  </si>
  <si>
    <t>×</t>
    <phoneticPr fontId="1"/>
  </si>
  <si>
    <t>×</t>
    <phoneticPr fontId="1"/>
  </si>
  <si>
    <r>
      <rPr>
        <sz val="10"/>
        <color theme="1"/>
        <rFont val="ＭＳ Ｐゴシック"/>
        <family val="2"/>
      </rPr>
      <t>方位</t>
    </r>
    <rPh sb="0" eb="2">
      <t>ホウイ</t>
    </rPh>
    <phoneticPr fontId="1"/>
  </si>
  <si>
    <r>
      <rPr>
        <sz val="10"/>
        <color theme="1"/>
        <rFont val="ＭＳ Ｐゴシック"/>
        <family val="2"/>
      </rPr>
      <t>外壁熱貫流率</t>
    </r>
    <rPh sb="0" eb="2">
      <t>ガイヘキ</t>
    </rPh>
    <phoneticPr fontId="1"/>
  </si>
  <si>
    <r>
      <rPr>
        <sz val="10"/>
        <color theme="1"/>
        <rFont val="ＭＳ Ｐゴシック"/>
        <family val="2"/>
      </rPr>
      <t>日射熱吸収率</t>
    </r>
    <rPh sb="2" eb="3">
      <t>ネツ</t>
    </rPh>
    <phoneticPr fontId="1"/>
  </si>
  <si>
    <r>
      <rPr>
        <sz val="10"/>
        <color theme="1"/>
        <rFont val="ＭＳ Ｐゴシック"/>
        <family val="2"/>
      </rPr>
      <t>熱貫流率</t>
    </r>
    <rPh sb="0" eb="1">
      <t>ネツ</t>
    </rPh>
    <rPh sb="1" eb="3">
      <t>カンリュウ</t>
    </rPh>
    <rPh sb="3" eb="4">
      <t>リツ</t>
    </rPh>
    <phoneticPr fontId="1"/>
  </si>
  <si>
    <r>
      <rPr>
        <sz val="10"/>
        <color theme="1"/>
        <rFont val="ＭＳ Ｐゴシック"/>
        <family val="2"/>
      </rPr>
      <t>遮熱係数</t>
    </r>
    <rPh sb="0" eb="2">
      <t>シャネツ</t>
    </rPh>
    <rPh sb="2" eb="4">
      <t>ケイスウ</t>
    </rPh>
    <phoneticPr fontId="1"/>
  </si>
  <si>
    <t>年間</t>
    <rPh sb="0" eb="2">
      <t>ネンカン</t>
    </rPh>
    <phoneticPr fontId="21"/>
  </si>
  <si>
    <t>本店所在地</t>
    <rPh sb="0" eb="2">
      <t>ホンテン</t>
    </rPh>
    <rPh sb="2" eb="5">
      <t>ショザイチ</t>
    </rPh>
    <phoneticPr fontId="21"/>
  </si>
  <si>
    <t>資本金
（出資金額）</t>
    <rPh sb="0" eb="3">
      <t>シホンキン</t>
    </rPh>
    <rPh sb="5" eb="8">
      <t>シュッシキン</t>
    </rPh>
    <rPh sb="8" eb="9">
      <t>ガク</t>
    </rPh>
    <phoneticPr fontId="21"/>
  </si>
  <si>
    <t>（１）他の補助制度（国の補助金など）との併用有無　※いずれかに〇をする</t>
    <rPh sb="3" eb="4">
      <t>タ</t>
    </rPh>
    <rPh sb="5" eb="7">
      <t>ホジョ</t>
    </rPh>
    <rPh sb="7" eb="9">
      <t>セイド</t>
    </rPh>
    <rPh sb="10" eb="11">
      <t>クニ</t>
    </rPh>
    <rPh sb="12" eb="15">
      <t>ホジョキン</t>
    </rPh>
    <rPh sb="20" eb="22">
      <t>ヘイヨウ</t>
    </rPh>
    <rPh sb="22" eb="24">
      <t>ウム</t>
    </rPh>
    <phoneticPr fontId="21"/>
  </si>
  <si>
    <t>（２）事業費内訳</t>
    <rPh sb="3" eb="5">
      <t>ジギョウ</t>
    </rPh>
    <rPh sb="5" eb="6">
      <t>ヒ</t>
    </rPh>
    <rPh sb="6" eb="8">
      <t>ウチワケ</t>
    </rPh>
    <phoneticPr fontId="21"/>
  </si>
  <si>
    <t>（４）補助金申請額</t>
    <rPh sb="3" eb="6">
      <t>ホジョキン</t>
    </rPh>
    <rPh sb="6" eb="8">
      <t>シンセイ</t>
    </rPh>
    <rPh sb="8" eb="9">
      <t>ガク</t>
    </rPh>
    <phoneticPr fontId="21"/>
  </si>
  <si>
    <t>主な生産品目</t>
    <rPh sb="0" eb="1">
      <t>オモ</t>
    </rPh>
    <rPh sb="2" eb="4">
      <t>セイサン</t>
    </rPh>
    <rPh sb="4" eb="6">
      <t>ヒンモク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</si>
  <si>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21"/>
  </si>
  <si>
    <t>円</t>
    <rPh sb="0" eb="1">
      <t>エン</t>
    </rPh>
    <phoneticPr fontId="1"/>
  </si>
  <si>
    <t>みなし大企業
に該当の有無</t>
    <rPh sb="3" eb="6">
      <t>ダイキギョウ</t>
    </rPh>
    <rPh sb="8" eb="10">
      <t>ガイトウ</t>
    </rPh>
    <rPh sb="11" eb="13">
      <t>ウム</t>
    </rPh>
    <phoneticPr fontId="21"/>
  </si>
  <si>
    <t>人</t>
    <rPh sb="0" eb="1">
      <t>ニン</t>
    </rPh>
    <phoneticPr fontId="1"/>
  </si>
  <si>
    <r>
      <t xml:space="preserve">契約形態
</t>
    </r>
    <r>
      <rPr>
        <sz val="8"/>
        <color theme="1"/>
        <rFont val="ＭＳ Ｐゴシック"/>
        <family val="3"/>
        <charset val="128"/>
        <scheme val="minor"/>
      </rPr>
      <t>※いずれかに○</t>
    </r>
    <rPh sb="0" eb="2">
      <t>ケイヤク</t>
    </rPh>
    <rPh sb="2" eb="4">
      <t>ケイタイ</t>
    </rPh>
    <phoneticPr fontId="21"/>
  </si>
  <si>
    <t>※ 見積書の合計額（税抜額）と一致させること</t>
    <rPh sb="2" eb="5">
      <t>ミツモリショ</t>
    </rPh>
    <rPh sb="6" eb="8">
      <t>ゴウケイ</t>
    </rPh>
    <rPh sb="8" eb="9">
      <t>ガク</t>
    </rPh>
    <rPh sb="10" eb="11">
      <t>ゼイ</t>
    </rPh>
    <rPh sb="11" eb="12">
      <t>ヌ</t>
    </rPh>
    <rPh sb="12" eb="13">
      <t>ガク</t>
    </rPh>
    <rPh sb="15" eb="17">
      <t>イッチ</t>
    </rPh>
    <phoneticPr fontId="21"/>
  </si>
  <si>
    <t>※ 見積書の合計額（税込額）と一致すること</t>
    <rPh sb="2" eb="5">
      <t>ミツモリショ</t>
    </rPh>
    <rPh sb="6" eb="8">
      <t>ゴウケイ</t>
    </rPh>
    <rPh sb="8" eb="9">
      <t>ガク</t>
    </rPh>
    <rPh sb="10" eb="12">
      <t>ゼイコミ</t>
    </rPh>
    <rPh sb="12" eb="13">
      <t>ガク</t>
    </rPh>
    <rPh sb="15" eb="17">
      <t>イッチ</t>
    </rPh>
    <phoneticPr fontId="21"/>
  </si>
  <si>
    <t>小計</t>
    <rPh sb="0" eb="2">
      <t>ショウケイ</t>
    </rPh>
    <phoneticPr fontId="1"/>
  </si>
  <si>
    <t>ア　併用なし</t>
    <rPh sb="2" eb="4">
      <t>ヘイヨウ</t>
    </rPh>
    <phoneticPr fontId="1"/>
  </si>
  <si>
    <t>イ　併用あり</t>
    <rPh sb="2" eb="4">
      <t>ヘイヨウ</t>
    </rPh>
    <phoneticPr fontId="1"/>
  </si>
  <si>
    <t>ア　併用なしの場合</t>
    <rPh sb="2" eb="4">
      <t>ヘイヨウ</t>
    </rPh>
    <rPh sb="7" eb="9">
      <t>バアイ</t>
    </rPh>
    <phoneticPr fontId="1"/>
  </si>
  <si>
    <t>イ　併用ありの場合</t>
    <rPh sb="2" eb="4">
      <t>ヘイヨウ</t>
    </rPh>
    <rPh sb="7" eb="9">
      <t>バアイ</t>
    </rPh>
    <phoneticPr fontId="1"/>
  </si>
  <si>
    <t>ＳＩＩ補助金②</t>
    <rPh sb="3" eb="6">
      <t>ホジョキン</t>
    </rPh>
    <phoneticPr fontId="1"/>
  </si>
  <si>
    <t>ＳＩＩ補助金①</t>
    <rPh sb="3" eb="6">
      <t>ホジョキン</t>
    </rPh>
    <phoneticPr fontId="1"/>
  </si>
  <si>
    <t>①上限額</t>
    <rPh sb="1" eb="4">
      <t>ジョウゲンガク</t>
    </rPh>
    <phoneticPr fontId="21"/>
  </si>
  <si>
    <t>計(A)</t>
    <rPh sb="0" eb="1">
      <t>ケイ</t>
    </rPh>
    <phoneticPr fontId="21"/>
  </si>
  <si>
    <t>補助対象経費(B)</t>
    <rPh sb="0" eb="2">
      <t>ホジョ</t>
    </rPh>
    <rPh sb="2" eb="4">
      <t>タイショウ</t>
    </rPh>
    <rPh sb="4" eb="6">
      <t>ケイヒ</t>
    </rPh>
    <phoneticPr fontId="21"/>
  </si>
  <si>
    <t>国等の補助額(C)</t>
    <rPh sb="0" eb="1">
      <t>クニ</t>
    </rPh>
    <rPh sb="1" eb="2">
      <t>トウ</t>
    </rPh>
    <rPh sb="3" eb="5">
      <t>ホジョ</t>
    </rPh>
    <rPh sb="5" eb="6">
      <t>ガク</t>
    </rPh>
    <phoneticPr fontId="21"/>
  </si>
  <si>
    <t>B-C</t>
    <phoneticPr fontId="21"/>
  </si>
  <si>
    <t>②補助対象経費の１／３</t>
    <rPh sb="1" eb="3">
      <t>ホジョ</t>
    </rPh>
    <rPh sb="3" eb="5">
      <t>タイショウ</t>
    </rPh>
    <rPh sb="5" eb="7">
      <t>ケイヒ</t>
    </rPh>
    <phoneticPr fontId="1"/>
  </si>
  <si>
    <t>③申請上限額</t>
    <rPh sb="1" eb="3">
      <t>シンセイ</t>
    </rPh>
    <rPh sb="3" eb="5">
      <t>ジョウゲン</t>
    </rPh>
    <rPh sb="5" eb="6">
      <t>ガク</t>
    </rPh>
    <phoneticPr fontId="1"/>
  </si>
  <si>
    <t>②補助対象経費から国の補助金等を控除した額の１／４</t>
    <rPh sb="1" eb="3">
      <t>ホジョ</t>
    </rPh>
    <rPh sb="3" eb="5">
      <t>タイショウ</t>
    </rPh>
    <rPh sb="5" eb="7">
      <t>ケイヒ</t>
    </rPh>
    <rPh sb="9" eb="10">
      <t>クニ</t>
    </rPh>
    <rPh sb="11" eb="14">
      <t>ホジョキン</t>
    </rPh>
    <rPh sb="14" eb="15">
      <t>トウ</t>
    </rPh>
    <rPh sb="16" eb="18">
      <t>コウジョ</t>
    </rPh>
    <rPh sb="20" eb="21">
      <t>ガク</t>
    </rPh>
    <phoneticPr fontId="1"/>
  </si>
  <si>
    <t>③国の補助金等の合計額が１</t>
    <rPh sb="1" eb="2">
      <t>クニ</t>
    </rPh>
    <rPh sb="3" eb="6">
      <t>ホジョキン</t>
    </rPh>
    <rPh sb="6" eb="7">
      <t>トウ</t>
    </rPh>
    <rPh sb="8" eb="10">
      <t>ゴウケイ</t>
    </rPh>
    <rPh sb="10" eb="11">
      <t>ガク</t>
    </rPh>
    <phoneticPr fontId="1"/>
  </si>
  <si>
    <t>④申請上限額</t>
    <rPh sb="1" eb="3">
      <t>シンセイ</t>
    </rPh>
    <rPh sb="3" eb="5">
      <t>ジョウゲン</t>
    </rPh>
    <rPh sb="5" eb="6">
      <t>ガク</t>
    </rPh>
    <phoneticPr fontId="1"/>
  </si>
  <si>
    <t>－</t>
    <phoneticPr fontId="21"/>
  </si>
  <si>
    <t>(A)</t>
    <phoneticPr fontId="1"/>
  </si>
  <si>
    <t>(B) - (C)</t>
    <phoneticPr fontId="1"/>
  </si>
  <si>
    <t>①、②の低い額</t>
    <rPh sb="4" eb="5">
      <t>ヒク</t>
    </rPh>
    <rPh sb="6" eb="7">
      <t>ガク</t>
    </rPh>
    <phoneticPr fontId="1"/>
  </si>
  <si>
    <t>(A)×1/2</t>
    <phoneticPr fontId="1"/>
  </si>
  <si>
    <t>(C)</t>
    <phoneticPr fontId="1"/>
  </si>
  <si>
    <t>①～③の低い額</t>
    <rPh sb="4" eb="5">
      <t>ヒク</t>
    </rPh>
    <rPh sb="6" eb="7">
      <t>ガク</t>
    </rPh>
    <phoneticPr fontId="1"/>
  </si>
  <si>
    <t>（３）国等の補助の補助申請（予定）額又は交付決定額</t>
    <rPh sb="3" eb="4">
      <t>クニ</t>
    </rPh>
    <rPh sb="4" eb="5">
      <t>トウ</t>
    </rPh>
    <rPh sb="6" eb="8">
      <t>ホジョ</t>
    </rPh>
    <rPh sb="9" eb="11">
      <t>ホジョ</t>
    </rPh>
    <rPh sb="11" eb="13">
      <t>シンセイ</t>
    </rPh>
    <rPh sb="14" eb="16">
      <t>ヨテイ</t>
    </rPh>
    <rPh sb="17" eb="18">
      <t>ガク</t>
    </rPh>
    <rPh sb="18" eb="19">
      <t>マタ</t>
    </rPh>
    <rPh sb="20" eb="22">
      <t>コウフ</t>
    </rPh>
    <rPh sb="22" eb="24">
      <t>ケッテイ</t>
    </rPh>
    <rPh sb="24" eb="25">
      <t>ガク</t>
    </rPh>
    <phoneticPr fontId="21"/>
  </si>
  <si>
    <t>令和２年　　月　　日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9" eb="10">
      <t>ニチ</t>
    </rPh>
    <phoneticPr fontId="1"/>
  </si>
  <si>
    <r>
      <rPr>
        <sz val="11"/>
        <color theme="1"/>
        <rFont val="ＭＳ Ｐゴシック"/>
        <family val="3"/>
        <charset val="128"/>
      </rPr>
      <t>屋根</t>
    </r>
    <r>
      <rPr>
        <sz val="11"/>
        <color theme="1"/>
        <rFont val="Arial"/>
        <family val="3"/>
      </rPr>
      <t xml:space="preserve"> </t>
    </r>
    <r>
      <rPr>
        <sz val="11"/>
        <color theme="1"/>
        <rFont val="ＭＳ Ｐゴシック"/>
        <family val="3"/>
        <charset val="128"/>
      </rPr>
      <t>表－１の結果</t>
    </r>
    <rPh sb="0" eb="2">
      <t>ヤネ</t>
    </rPh>
    <rPh sb="3" eb="4">
      <t>ヒョウ</t>
    </rPh>
    <rPh sb="7" eb="9">
      <t>ケッカ</t>
    </rPh>
    <phoneticPr fontId="1"/>
  </si>
  <si>
    <t>屋根　表－２の結果</t>
    <rPh sb="0" eb="2">
      <t>ヤネ</t>
    </rPh>
    <rPh sb="3" eb="4">
      <t>ヒョウ</t>
    </rPh>
    <rPh sb="7" eb="9">
      <t>ケッカ</t>
    </rPh>
    <phoneticPr fontId="1"/>
  </si>
  <si>
    <r>
      <rPr>
        <sz val="11"/>
        <color theme="1"/>
        <rFont val="ＭＳ ゴシック"/>
        <family val="3"/>
        <charset val="128"/>
      </rPr>
      <t>外壁</t>
    </r>
    <r>
      <rPr>
        <sz val="11"/>
        <color theme="1"/>
        <rFont val="Arial"/>
        <family val="3"/>
      </rPr>
      <t xml:space="preserve"> </t>
    </r>
    <r>
      <rPr>
        <sz val="11"/>
        <color theme="1"/>
        <rFont val="ＭＳ Ｐゴシック"/>
        <family val="3"/>
        <charset val="128"/>
      </rPr>
      <t>表－１の結果</t>
    </r>
    <rPh sb="0" eb="2">
      <t>ガイヘキ</t>
    </rPh>
    <rPh sb="3" eb="4">
      <t>ヒョウ</t>
    </rPh>
    <rPh sb="7" eb="9">
      <t>ケッカ</t>
    </rPh>
    <phoneticPr fontId="1"/>
  </si>
  <si>
    <t>外壁　表－２の結果</t>
    <rPh sb="0" eb="1">
      <t>ソト</t>
    </rPh>
    <rPh sb="1" eb="2">
      <t>ヘキ</t>
    </rPh>
    <rPh sb="3" eb="4">
      <t>ヒョウ</t>
    </rPh>
    <rPh sb="7" eb="9">
      <t>ケッカ</t>
    </rPh>
    <phoneticPr fontId="1"/>
  </si>
  <si>
    <r>
      <rPr>
        <sz val="11"/>
        <color theme="1"/>
        <rFont val="ＭＳ ゴシック"/>
        <family val="3"/>
        <charset val="128"/>
      </rPr>
      <t>窓</t>
    </r>
    <r>
      <rPr>
        <sz val="11"/>
        <color theme="1"/>
        <rFont val="Arial"/>
        <family val="3"/>
      </rPr>
      <t xml:space="preserve"> </t>
    </r>
    <r>
      <rPr>
        <sz val="11"/>
        <color theme="1"/>
        <rFont val="ＭＳ Ｐゴシック"/>
        <family val="3"/>
        <charset val="128"/>
      </rPr>
      <t>表－１の結果</t>
    </r>
    <rPh sb="0" eb="1">
      <t>マド</t>
    </rPh>
    <rPh sb="2" eb="3">
      <t>ヒョウ</t>
    </rPh>
    <rPh sb="6" eb="8">
      <t>ケッカ</t>
    </rPh>
    <phoneticPr fontId="1"/>
  </si>
  <si>
    <t>窓　表－２の結果</t>
    <rPh sb="0" eb="1">
      <t>マド</t>
    </rPh>
    <rPh sb="2" eb="3">
      <t>ヒョウ</t>
    </rPh>
    <rPh sb="6" eb="8">
      <t>ケッカ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</si>
  <si>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屋根</t>
    </r>
    <rPh sb="1" eb="3">
      <t>ヤネ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</si>
  <si>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外壁</t>
    </r>
    <rPh sb="1" eb="3">
      <t>ガイヘキ</t>
    </rPh>
    <phoneticPr fontId="1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</si>
  <si>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2"/>
        <charset val="128"/>
      </rPr>
      <t>屋根</t>
    </r>
    <phoneticPr fontId="1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</si>
  <si>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2"/>
        <charset val="128"/>
      </rPr>
      <t>外壁</t>
    </r>
    <rPh sb="1" eb="3">
      <t>ガイヘキ</t>
    </rPh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</si>
  <si>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</si>
  <si>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</si>
  <si>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窓</t>
    <rPh sb="0" eb="1">
      <t>マド</t>
    </rPh>
    <phoneticPr fontId="1"/>
  </si>
  <si>
    <t>施工箇所別</t>
    <rPh sb="0" eb="2">
      <t>セコウ</t>
    </rPh>
    <rPh sb="2" eb="4">
      <t>カショ</t>
    </rPh>
    <rPh sb="4" eb="5">
      <t>ベツ</t>
    </rPh>
    <phoneticPr fontId="1"/>
  </si>
  <si>
    <r>
      <t xml:space="preserve">法定耐用年数またはメーカー保証期間
</t>
    </r>
    <r>
      <rPr>
        <sz val="9"/>
        <color theme="1"/>
        <rFont val="ＭＳ Ｐゴシック"/>
        <family val="3"/>
        <charset val="128"/>
        <scheme val="minor"/>
      </rPr>
      <t>（複数用途がある場合、施工別に記入する）</t>
    </r>
    <rPh sb="0" eb="2">
      <t>ホウテイ</t>
    </rPh>
    <rPh sb="2" eb="4">
      <t>タイヨウ</t>
    </rPh>
    <rPh sb="4" eb="6">
      <t>ネンスウ</t>
    </rPh>
    <rPh sb="13" eb="15">
      <t>ホショウ</t>
    </rPh>
    <rPh sb="15" eb="17">
      <t>キカン</t>
    </rPh>
    <rPh sb="19" eb="21">
      <t>フクスウ</t>
    </rPh>
    <rPh sb="21" eb="23">
      <t>ヨウト</t>
    </rPh>
    <rPh sb="26" eb="28">
      <t>バアイ</t>
    </rPh>
    <rPh sb="29" eb="31">
      <t>セコウ</t>
    </rPh>
    <rPh sb="31" eb="32">
      <t>ベツ</t>
    </rPh>
    <rPh sb="33" eb="35">
      <t>キニュウ</t>
    </rPh>
    <phoneticPr fontId="1"/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</si>
  <si>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3/年</t>
    </r>
    <r>
      <rPr>
        <sz val="10"/>
        <color indexed="8"/>
        <rFont val="ＭＳ Ｐゴシック"/>
        <family val="3"/>
        <charset val="128"/>
      </rPr>
      <t/>
    </r>
    <rPh sb="6" eb="7">
      <t>ネン</t>
    </rPh>
    <phoneticPr fontId="21"/>
  </si>
  <si>
    <r>
      <rPr>
        <sz val="11"/>
        <color theme="1"/>
        <rFont val="ＭＳ Ｐゴシック"/>
        <family val="2"/>
      </rPr>
      <t>導入後</t>
    </r>
    <r>
      <rPr>
        <sz val="11"/>
        <color theme="1"/>
        <rFont val="Arial"/>
        <family val="2"/>
      </rPr>
      <t xml:space="preserve"> CO</t>
    </r>
    <r>
      <rPr>
        <sz val="11"/>
        <color theme="1"/>
        <rFont val="MS UI Gothic"/>
        <family val="2"/>
        <charset val="1"/>
      </rPr>
      <t>₂</t>
    </r>
    <r>
      <rPr>
        <sz val="11"/>
        <color theme="1"/>
        <rFont val="MS UI Gothic"/>
        <family val="2"/>
        <charset val="128"/>
      </rPr>
      <t>排出量</t>
    </r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</si>
  <si>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r>
      <rPr>
        <sz val="11"/>
        <color theme="1"/>
        <rFont val="ＭＳ Ｐゴシック"/>
        <family val="2"/>
      </rPr>
      <t>導入前</t>
    </r>
    <r>
      <rPr>
        <sz val="11"/>
        <color theme="1"/>
        <rFont val="Arial"/>
        <family val="2"/>
      </rPr>
      <t xml:space="preserve"> CO</t>
    </r>
    <r>
      <rPr>
        <sz val="11"/>
        <color theme="1"/>
        <rFont val="MS UI Gothic"/>
        <family val="2"/>
        <charset val="1"/>
      </rPr>
      <t>₂</t>
    </r>
    <r>
      <rPr>
        <sz val="11"/>
        <color theme="1"/>
        <rFont val="MS UI Gothic"/>
        <family val="2"/>
        <charset val="128"/>
      </rPr>
      <t>排出量</t>
    </r>
    <rPh sb="0" eb="2">
      <t>ドウニュウ</t>
    </rPh>
    <rPh sb="2" eb="3">
      <t>マエ</t>
    </rPh>
    <rPh sb="7" eb="9">
      <t>ハイシュツ</t>
    </rPh>
    <rPh sb="9" eb="10">
      <t>リョウ</t>
    </rPh>
    <phoneticPr fontId="1"/>
  </si>
  <si>
    <r>
      <t>t-CO</t>
    </r>
    <r>
      <rPr>
        <sz val="11"/>
        <color theme="1"/>
        <rFont val="MS UI Gothic"/>
        <family val="2"/>
        <charset val="1"/>
      </rPr>
      <t>₂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2"/>
      </rPr>
      <t>年</t>
    </r>
    <rPh sb="6" eb="7">
      <t>ネン</t>
    </rPh>
    <phoneticPr fontId="1"/>
  </si>
  <si>
    <t>法定耐用年数CO₂排出削減量</t>
  </si>
  <si>
    <t>法定耐用年数CO₂排出削減量</t>
    <rPh sb="0" eb="2">
      <t>ホウテイ</t>
    </rPh>
    <rPh sb="2" eb="4">
      <t>タイヨウ</t>
    </rPh>
    <rPh sb="4" eb="6">
      <t>ネンスウ</t>
    </rPh>
    <rPh sb="9" eb="11">
      <t>ハイシュツ</t>
    </rPh>
    <rPh sb="11" eb="13">
      <t>サクゲン</t>
    </rPh>
    <rPh sb="13" eb="14">
      <t>リョウ</t>
    </rPh>
    <phoneticPr fontId="1"/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</si>
  <si>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2</t>
    </r>
    <phoneticPr fontId="21"/>
  </si>
  <si>
    <t>合計</t>
    <rPh sb="0" eb="2">
      <t>ゴウケイ</t>
    </rPh>
    <phoneticPr fontId="1"/>
  </si>
  <si>
    <t>原油換算チェックシート</t>
    <rPh sb="0" eb="2">
      <t>ゲンユ</t>
    </rPh>
    <rPh sb="2" eb="4">
      <t>カンサン</t>
    </rPh>
    <phoneticPr fontId="21"/>
  </si>
  <si>
    <t>種類</t>
    <rPh sb="0" eb="2">
      <t>シュルイ</t>
    </rPh>
    <phoneticPr fontId="21"/>
  </si>
  <si>
    <t>単位</t>
    <phoneticPr fontId="21"/>
  </si>
  <si>
    <t>年間エネルギー使用量</t>
    <rPh sb="0" eb="2">
      <t>ネンカン</t>
    </rPh>
    <rPh sb="7" eb="10">
      <t>シヨウリョウ</t>
    </rPh>
    <phoneticPr fontId="21"/>
  </si>
  <si>
    <t>単位当たり
発熱量</t>
    <rPh sb="0" eb="2">
      <t>タンイ</t>
    </rPh>
    <rPh sb="2" eb="3">
      <t>ア</t>
    </rPh>
    <rPh sb="6" eb="9">
      <t>ハツネツリョウ</t>
    </rPh>
    <phoneticPr fontId="21"/>
  </si>
  <si>
    <t>熱量</t>
    <phoneticPr fontId="21"/>
  </si>
  <si>
    <t>原油換算</t>
    <rPh sb="0" eb="2">
      <t>ゲンユ</t>
    </rPh>
    <rPh sb="2" eb="4">
      <t>カンサン</t>
    </rPh>
    <phoneticPr fontId="21"/>
  </si>
  <si>
    <t>原油換算係数</t>
    <rPh sb="0" eb="2">
      <t>ゲンユ</t>
    </rPh>
    <rPh sb="2" eb="4">
      <t>カンサン</t>
    </rPh>
    <rPh sb="4" eb="6">
      <t>ケイスウ</t>
    </rPh>
    <phoneticPr fontId="21"/>
  </si>
  <si>
    <t>原油換算使用量</t>
    <rPh sb="0" eb="2">
      <t>ゲンユ</t>
    </rPh>
    <rPh sb="2" eb="4">
      <t>カンサン</t>
    </rPh>
    <rPh sb="4" eb="7">
      <t>シヨウリョウ</t>
    </rPh>
    <phoneticPr fontId="21"/>
  </si>
  <si>
    <t>Ｈ２９年</t>
    <rPh sb="3" eb="4">
      <t>ネン</t>
    </rPh>
    <phoneticPr fontId="1"/>
  </si>
  <si>
    <t>Ｈ３０</t>
    <phoneticPr fontId="1"/>
  </si>
  <si>
    <t>Ｒ１年</t>
    <rPh sb="2" eb="3">
      <t>ネン</t>
    </rPh>
    <phoneticPr fontId="1"/>
  </si>
  <si>
    <t>①</t>
    <phoneticPr fontId="21"/>
  </si>
  <si>
    <t>②</t>
    <phoneticPr fontId="21"/>
  </si>
  <si>
    <t>③=①×②</t>
    <phoneticPr fontId="21"/>
  </si>
  <si>
    <t>④</t>
    <phoneticPr fontId="21"/>
  </si>
  <si>
    <t>⑤=①×②×④</t>
    <phoneticPr fontId="21"/>
  </si>
  <si>
    <t>各年の使用量数値を記入する。(単位に注意）</t>
    <rPh sb="0" eb="1">
      <t>カク</t>
    </rPh>
    <rPh sb="1" eb="2">
      <t>トシ</t>
    </rPh>
    <rPh sb="3" eb="6">
      <t>シヨウリョウ</t>
    </rPh>
    <rPh sb="6" eb="8">
      <t>スウチ</t>
    </rPh>
    <rPh sb="9" eb="11">
      <t>キニュウ</t>
    </rPh>
    <rPh sb="15" eb="17">
      <t>タンイ</t>
    </rPh>
    <rPh sb="18" eb="20">
      <t>チュウイ</t>
    </rPh>
    <phoneticPr fontId="21"/>
  </si>
  <si>
    <t>単位</t>
    <rPh sb="0" eb="2">
      <t>タンイ</t>
    </rPh>
    <phoneticPr fontId="21"/>
  </si>
  <si>
    <t>エネルギー使用量換算</t>
    <rPh sb="5" eb="8">
      <t>シヨウリョウ</t>
    </rPh>
    <rPh sb="8" eb="10">
      <t>カンサン</t>
    </rPh>
    <phoneticPr fontId="38"/>
  </si>
  <si>
    <t>燃料及び熱</t>
    <phoneticPr fontId="38"/>
  </si>
  <si>
    <t>揮発油（ガソリン）</t>
    <rPh sb="0" eb="3">
      <t>キハツユ</t>
    </rPh>
    <phoneticPr fontId="21"/>
  </si>
  <si>
    <t>灯油</t>
    <rPh sb="0" eb="2">
      <t>トウユ</t>
    </rPh>
    <phoneticPr fontId="21"/>
  </si>
  <si>
    <t>軽油</t>
    <rPh sb="0" eb="2">
      <t>ケイユ</t>
    </rPh>
    <phoneticPr fontId="21"/>
  </si>
  <si>
    <t>Ａ重油</t>
    <rPh sb="1" eb="3">
      <t>ジュウユ</t>
    </rPh>
    <phoneticPr fontId="21"/>
  </si>
  <si>
    <t>液化石油ガス（ＬＰＧ）</t>
    <phoneticPr fontId="21"/>
  </si>
  <si>
    <t>液化天然ガス（LNG)</t>
    <rPh sb="0" eb="2">
      <t>エキカ</t>
    </rPh>
    <rPh sb="2" eb="4">
      <t>テンネン</t>
    </rPh>
    <phoneticPr fontId="21"/>
  </si>
  <si>
    <t>都市ガス</t>
    <rPh sb="0" eb="2">
      <t>トシ</t>
    </rPh>
    <phoneticPr fontId="21"/>
  </si>
  <si>
    <r>
      <t>千Nｍ</t>
    </r>
    <r>
      <rPr>
        <vertAlign val="superscript"/>
        <sz val="8"/>
        <rFont val="ＭＳ 明朝"/>
        <family val="1"/>
        <charset val="128"/>
      </rPr>
      <t>3</t>
    </r>
    <rPh sb="0" eb="1">
      <t>セン</t>
    </rPh>
    <phoneticPr fontId="21"/>
  </si>
  <si>
    <r>
      <t>GJ/千Nｍ</t>
    </r>
    <r>
      <rPr>
        <vertAlign val="superscript"/>
        <sz val="8"/>
        <rFont val="ＭＳ 明朝"/>
        <family val="1"/>
        <charset val="128"/>
      </rPr>
      <t>3</t>
    </r>
    <phoneticPr fontId="21"/>
  </si>
  <si>
    <t>小計</t>
    <phoneticPr fontId="21"/>
  </si>
  <si>
    <t>①</t>
  </si>
  <si>
    <t>電気</t>
    <rPh sb="0" eb="1">
      <t>デン</t>
    </rPh>
    <rPh sb="1" eb="2">
      <t>キ</t>
    </rPh>
    <phoneticPr fontId="21"/>
  </si>
  <si>
    <t>千kWh</t>
    <rPh sb="0" eb="1">
      <t>セン</t>
    </rPh>
    <phoneticPr fontId="21"/>
  </si>
  <si>
    <t>GJ/千kWh</t>
    <rPh sb="3" eb="4">
      <t>セン</t>
    </rPh>
    <phoneticPr fontId="21"/>
  </si>
  <si>
    <t>運転時間
(６時間）</t>
    <rPh sb="0" eb="2">
      <t>ウンテン</t>
    </rPh>
    <rPh sb="2" eb="4">
      <t>ジカン</t>
    </rPh>
    <rPh sb="7" eb="9">
      <t>ジカン</t>
    </rPh>
    <phoneticPr fontId="1"/>
  </si>
  <si>
    <t>窓は、東西南北それぞれの方位について日照時間を６時間で統一する。</t>
    <rPh sb="0" eb="1">
      <t>マド</t>
    </rPh>
    <rPh sb="3" eb="5">
      <t>トウザイ</t>
    </rPh>
    <rPh sb="5" eb="7">
      <t>ナンボク</t>
    </rPh>
    <rPh sb="12" eb="14">
      <t>ホウイ</t>
    </rPh>
    <rPh sb="18" eb="20">
      <t>ニッショウ</t>
    </rPh>
    <rPh sb="20" eb="22">
      <t>ジカン</t>
    </rPh>
    <rPh sb="24" eb="26">
      <t>ジカン</t>
    </rPh>
    <rPh sb="27" eb="29">
      <t>トウイツ</t>
    </rPh>
    <phoneticPr fontId="1"/>
  </si>
  <si>
    <t>５月と１０月の冷房と暖房の振り分け比率をそれぞれ、0.5から0.25に変更</t>
    <rPh sb="1" eb="2">
      <t>ガツ</t>
    </rPh>
    <rPh sb="5" eb="6">
      <t>ガツ</t>
    </rPh>
    <rPh sb="7" eb="9">
      <t>レイボウ</t>
    </rPh>
    <rPh sb="10" eb="12">
      <t>ダンボウ</t>
    </rPh>
    <rPh sb="13" eb="14">
      <t>フ</t>
    </rPh>
    <rPh sb="15" eb="16">
      <t>ワ</t>
    </rPh>
    <rPh sb="17" eb="19">
      <t>ヒリツ</t>
    </rPh>
    <rPh sb="35" eb="37">
      <t>ヘンコウ</t>
    </rPh>
    <phoneticPr fontId="1"/>
  </si>
  <si>
    <t>小計</t>
  </si>
  <si>
    <t>小計</t>
    <rPh sb="0" eb="2">
      <t>ショウケイ</t>
    </rPh>
    <phoneticPr fontId="1"/>
  </si>
  <si>
    <t>中計</t>
    <rPh sb="0" eb="2">
      <t>チュウケイ</t>
    </rPh>
    <phoneticPr fontId="1"/>
  </si>
  <si>
    <t>窓断熱</t>
    <rPh sb="0" eb="1">
      <t>マド</t>
    </rPh>
    <rPh sb="1" eb="3">
      <t>ダンネツ</t>
    </rPh>
    <phoneticPr fontId="1"/>
  </si>
  <si>
    <t>窓遮熱</t>
    <rPh sb="0" eb="1">
      <t>マド</t>
    </rPh>
    <rPh sb="1" eb="3">
      <t>シャネツ</t>
    </rPh>
    <phoneticPr fontId="1"/>
  </si>
  <si>
    <t>窓遮熱の場合は、東西南北で日照時間を６時間で統一する。</t>
    <rPh sb="0" eb="1">
      <t>マド</t>
    </rPh>
    <rPh sb="1" eb="3">
      <t>シャネツ</t>
    </rPh>
    <rPh sb="4" eb="6">
      <t>バアイ</t>
    </rPh>
    <rPh sb="8" eb="10">
      <t>トウザイ</t>
    </rPh>
    <rPh sb="10" eb="12">
      <t>ナンボク</t>
    </rPh>
    <rPh sb="13" eb="15">
      <t>ニッショウ</t>
    </rPh>
    <rPh sb="15" eb="17">
      <t>ジカン</t>
    </rPh>
    <rPh sb="19" eb="21">
      <t>ジカン</t>
    </rPh>
    <rPh sb="22" eb="24">
      <t>トウイツ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</si>
  <si>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窓遮熱</t>
    </r>
    <rPh sb="1" eb="2">
      <t>マド</t>
    </rPh>
    <rPh sb="2" eb="4">
      <t>シャネツ</t>
    </rPh>
    <phoneticPr fontId="1"/>
  </si>
  <si>
    <r>
      <rPr>
        <sz val="16"/>
        <color theme="1"/>
        <rFont val="Segoe UI Symbol"/>
        <family val="2"/>
      </rPr>
      <t>●</t>
    </r>
    <r>
      <rPr>
        <sz val="16"/>
        <color theme="1"/>
        <rFont val="ＭＳ ゴシック"/>
        <family val="2"/>
        <charset val="128"/>
      </rPr>
      <t>窓断熱</t>
    </r>
    <rPh sb="1" eb="2">
      <t>マド</t>
    </rPh>
    <rPh sb="2" eb="4">
      <t>ダンネツ</t>
    </rPh>
    <phoneticPr fontId="1"/>
  </si>
  <si>
    <r>
      <t>●</t>
    </r>
    <r>
      <rPr>
        <sz val="11"/>
        <color theme="1"/>
        <rFont val="ＭＳ ゴシック"/>
        <family val="2"/>
        <charset val="128"/>
      </rPr>
      <t>窓断熱</t>
    </r>
    <rPh sb="1" eb="2">
      <t>マド</t>
    </rPh>
    <rPh sb="2" eb="4">
      <t>ダンネツ</t>
    </rPh>
    <phoneticPr fontId="1"/>
  </si>
  <si>
    <r>
      <rPr>
        <sz val="11"/>
        <color theme="1"/>
        <rFont val="Segoe UI Symbol"/>
        <family val="2"/>
      </rPr>
      <t>●</t>
    </r>
    <r>
      <rPr>
        <sz val="11"/>
        <color theme="1"/>
        <rFont val="ＭＳ ゴシック"/>
        <family val="2"/>
        <charset val="128"/>
      </rPr>
      <t>窓遮熱</t>
    </r>
    <rPh sb="1" eb="2">
      <t>マド</t>
    </rPh>
    <rPh sb="2" eb="4">
      <t>シャネツ</t>
    </rPh>
    <phoneticPr fontId="1"/>
  </si>
  <si>
    <t>合計</t>
    <rPh sb="0" eb="2">
      <t>ゴウケイ</t>
    </rPh>
    <phoneticPr fontId="1"/>
  </si>
  <si>
    <t>一般社団法人建材試験センター</t>
    <rPh sb="0" eb="2">
      <t>イッパン</t>
    </rPh>
    <rPh sb="2" eb="4">
      <t>シャダン</t>
    </rPh>
    <rPh sb="4" eb="6">
      <t>ホウジン</t>
    </rPh>
    <rPh sb="6" eb="8">
      <t>ケンザイ</t>
    </rPh>
    <rPh sb="8" eb="10">
      <t>シケン</t>
    </rPh>
    <phoneticPr fontId="1"/>
  </si>
  <si>
    <t>W/m2K</t>
    <phoneticPr fontId="1"/>
  </si>
  <si>
    <t>事業期間</t>
    <rPh sb="0" eb="2">
      <t>ジギョウ</t>
    </rPh>
    <rPh sb="2" eb="4">
      <t>キカン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</si>
  <si>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</si>
  <si>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</si>
  <si>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～</t>
    <phoneticPr fontId="1"/>
  </si>
  <si>
    <t>埼玉県民間事業者暑さ対策設備等省エネ補助金　事業実績書</t>
    <phoneticPr fontId="2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</si>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</sst>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¥&quot;#,##0;[Red]&quot;¥&quot;\-#,##0"/>
    <numFmt numFmtId="176" formatCode="0.0"/>
    <numFmt numFmtId="177" formatCode="#,##0.0;[Red]\-#,##0.0"/>
    <numFmt numFmtId="178" formatCode="#,##0.0000;[Red]\-#,##0.0000"/>
    <numFmt numFmtId="179" formatCode="#,##0.00000;[Red]\-#,##0.00000"/>
    <numFmt numFmtId="180" formatCode="0.000"/>
    <numFmt numFmtId="181" formatCode="0.0000"/>
    <numFmt numFmtId="182" formatCode="#,##0.00_ ;[Red]\-#,##0.00\ "/>
    <numFmt numFmtId="183" formatCode="[$-F800]dddd\,\ mmmm\ dd\,\ yyyy"/>
    <numFmt numFmtId="184" formatCode="#,##0&quot; kWh&quot;;[Red]\-#,##0&quot; kWh&quot;"/>
    <numFmt numFmtId="185" formatCode="#,##0.0&quot; t-CO2&quot;;[Red]\-#,##0.0&quot; t-CO2&quot;"/>
    <numFmt numFmtId="186" formatCode="#,##0.0&quot; %&quot;;[Red]\-#,##0.0&quot; %&quot;"/>
    <numFmt numFmtId="187" formatCode="#,##0_ "/>
    <numFmt numFmtId="188" formatCode="#,##0.0_ "/>
    <numFmt numFmtId="189" formatCode="0.0_ "/>
    <numFmt numFmtId="190" formatCode="#"/>
    <numFmt numFmtId="191" formatCode="0.000000_ "/>
    <numFmt numFmtId="192" formatCode="#,##0;\-#,##0;#"/>
    <numFmt numFmtId="193" formatCode="0.00000_ "/>
    <numFmt numFmtId="194" formatCode="#,##0.000_);[Red]\(#,##0.000\)"/>
    <numFmt numFmtId="195" formatCode="0.000_ "/>
    <numFmt numFmtId="196" formatCode="#,##0&quot; kL&quot;;\-#,##0;#"/>
  </numFmts>
  <fonts count="8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vertAlign val="subscript"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vertAlign val="subscript"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</font>
    <font>
      <b/>
      <sz val="11"/>
      <color rgb="FFFF0000"/>
      <name val="Arial"/>
      <family val="2"/>
    </font>
    <font>
      <vertAlign val="superscript"/>
      <sz val="11"/>
      <color theme="1"/>
      <name val="Arial"/>
      <family val="2"/>
    </font>
    <font>
      <sz val="11"/>
      <name val="ＭＳ Ｐゴシック"/>
      <family val="2"/>
    </font>
    <font>
      <sz val="10"/>
      <color theme="1"/>
      <name val="ＭＳ Ｐゴシック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2"/>
    </font>
    <font>
      <sz val="9"/>
      <color theme="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vertAlign val="superscript"/>
      <sz val="10"/>
      <color theme="1"/>
      <name val="Arial"/>
      <family val="2"/>
    </font>
    <font>
      <sz val="11"/>
      <color rgb="FFFF0000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Segoe UI Symbol"/>
      <family val="2"/>
    </font>
    <font>
      <sz val="11"/>
      <color theme="1"/>
      <name val="Arial"/>
      <family val="3"/>
    </font>
    <font>
      <sz val="11"/>
      <color theme="1"/>
      <name val="Arial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Arial"/>
      <family val="2"/>
    </font>
    <font>
      <sz val="16"/>
      <color theme="1"/>
      <name val="Segoe UI Symbol"/>
      <family val="2"/>
    </font>
    <font>
      <sz val="16"/>
      <color theme="1"/>
      <name val="ＭＳ ゴシック"/>
      <family val="2"/>
      <charset val="128"/>
    </font>
    <font>
      <sz val="11"/>
      <color theme="1"/>
      <name val="MS UI Gothic"/>
      <family val="2"/>
      <charset val="1"/>
    </font>
    <font>
      <sz val="11"/>
      <color theme="1"/>
      <name val="MS UI Gothic"/>
      <family val="2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theme="1"/>
      <name val="ＭＳ Ｐゴシック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thin">
        <color theme="6" tint="-0.2499465926084170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theme="6" tint="-0.2499465926084170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rgb="FFFF0000"/>
      </left>
      <right/>
      <top style="double">
        <color indexed="64"/>
      </top>
      <bottom style="thin">
        <color theme="1"/>
      </bottom>
      <diagonal style="thin">
        <color theme="1"/>
      </diagonal>
    </border>
    <border diagonalUp="1">
      <left/>
      <right/>
      <top style="double">
        <color indexed="64"/>
      </top>
      <bottom style="thin">
        <color theme="1"/>
      </bottom>
      <diagonal style="thin">
        <color theme="1"/>
      </diagonal>
    </border>
    <border diagonalUp="1">
      <left/>
      <right style="medium">
        <color rgb="FFFF0000"/>
      </right>
      <top style="double">
        <color indexed="64"/>
      </top>
      <bottom style="thin">
        <color theme="1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9" fillId="0" borderId="0"/>
    <xf numFmtId="0" fontId="33" fillId="0" borderId="0">
      <alignment vertical="center"/>
    </xf>
    <xf numFmtId="0" fontId="36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16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38" fontId="0" fillId="0" borderId="1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" applyFont="1" applyBorder="1">
      <alignment vertical="center"/>
    </xf>
    <xf numFmtId="0" fontId="0" fillId="0" borderId="4" xfId="0" applyBorder="1" applyAlignment="1">
      <alignment vertical="center"/>
    </xf>
    <xf numFmtId="40" fontId="0" fillId="0" borderId="1" xfId="1" applyNumberFormat="1" applyFont="1" applyBorder="1">
      <alignment vertical="center"/>
    </xf>
    <xf numFmtId="38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0" fontId="0" fillId="0" borderId="3" xfId="1" applyNumberFormat="1" applyFont="1" applyBorder="1">
      <alignment vertical="center"/>
    </xf>
    <xf numFmtId="40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27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3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38" fontId="0" fillId="0" borderId="37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77" fontId="5" fillId="5" borderId="1" xfId="1" applyNumberFormat="1" applyFont="1" applyFill="1" applyBorder="1">
      <alignment vertical="center"/>
    </xf>
    <xf numFmtId="177" fontId="5" fillId="5" borderId="2" xfId="1" applyNumberFormat="1" applyFont="1" applyFill="1" applyBorder="1">
      <alignment vertical="center"/>
    </xf>
    <xf numFmtId="177" fontId="5" fillId="3" borderId="30" xfId="1" applyNumberFormat="1" applyFont="1" applyFill="1" applyBorder="1">
      <alignment vertical="center"/>
    </xf>
    <xf numFmtId="177" fontId="5" fillId="5" borderId="4" xfId="1" applyNumberFormat="1" applyFont="1" applyFill="1" applyBorder="1">
      <alignment vertical="center"/>
    </xf>
    <xf numFmtId="177" fontId="11" fillId="3" borderId="30" xfId="1" applyNumberFormat="1" applyFont="1" applyFill="1" applyBorder="1">
      <alignment vertical="center"/>
    </xf>
    <xf numFmtId="177" fontId="5" fillId="3" borderId="31" xfId="1" applyNumberFormat="1" applyFont="1" applyFill="1" applyBorder="1">
      <alignment vertical="center"/>
    </xf>
    <xf numFmtId="177" fontId="11" fillId="3" borderId="31" xfId="1" applyNumberFormat="1" applyFont="1" applyFill="1" applyBorder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177" fontId="5" fillId="0" borderId="1" xfId="1" applyNumberFormat="1" applyFont="1" applyBorder="1">
      <alignment vertical="center"/>
    </xf>
    <xf numFmtId="0" fontId="4" fillId="5" borderId="0" xfId="0" applyFont="1" applyFill="1" applyAlignment="1">
      <alignment vertical="center"/>
    </xf>
    <xf numFmtId="0" fontId="0" fillId="0" borderId="1" xfId="0" applyBorder="1"/>
    <xf numFmtId="38" fontId="0" fillId="0" borderId="57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7" fontId="0" fillId="0" borderId="8" xfId="1" applyNumberFormat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57" xfId="1" applyNumberFormat="1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60" xfId="0" applyFont="1" applyBorder="1" applyAlignment="1">
      <alignment horizontal="right" vertical="center"/>
    </xf>
    <xf numFmtId="0" fontId="14" fillId="0" borderId="46" xfId="0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14" fillId="0" borderId="61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177" fontId="0" fillId="0" borderId="33" xfId="1" applyNumberFormat="1" applyFont="1" applyBorder="1" applyAlignment="1">
      <alignment horizontal="right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38" fontId="0" fillId="4" borderId="27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3" borderId="25" xfId="0" applyFont="1" applyFill="1" applyBorder="1"/>
    <xf numFmtId="0" fontId="5" fillId="0" borderId="4" xfId="0" applyFont="1" applyBorder="1"/>
    <xf numFmtId="0" fontId="5" fillId="3" borderId="30" xfId="0" applyFont="1" applyFill="1" applyBorder="1"/>
    <xf numFmtId="38" fontId="5" fillId="0" borderId="1" xfId="1" applyFont="1" applyBorder="1" applyAlignment="1"/>
    <xf numFmtId="0" fontId="4" fillId="0" borderId="1" xfId="0" applyFont="1" applyBorder="1"/>
    <xf numFmtId="38" fontId="5" fillId="0" borderId="2" xfId="1" applyFont="1" applyBorder="1" applyAlignment="1"/>
    <xf numFmtId="38" fontId="5" fillId="0" borderId="4" xfId="1" applyFont="1" applyBorder="1" applyAlignment="1"/>
    <xf numFmtId="38" fontId="5" fillId="3" borderId="31" xfId="1" applyFont="1" applyFill="1" applyBorder="1" applyAlignment="1"/>
    <xf numFmtId="38" fontId="0" fillId="0" borderId="1" xfId="1" applyFont="1" applyBorder="1" applyAlignment="1"/>
    <xf numFmtId="0" fontId="5" fillId="6" borderId="1" xfId="0" applyFont="1" applyFill="1" applyBorder="1"/>
    <xf numFmtId="38" fontId="0" fillId="6" borderId="1" xfId="1" applyFont="1" applyFill="1" applyBorder="1" applyAlignment="1"/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0" fontId="0" fillId="0" borderId="28" xfId="1" applyNumberFormat="1" applyFont="1" applyBorder="1" applyAlignment="1">
      <alignment horizontal="center" vertical="center"/>
    </xf>
    <xf numFmtId="178" fontId="0" fillId="0" borderId="1" xfId="1" applyNumberFormat="1" applyFont="1" applyBorder="1">
      <alignment vertical="center"/>
    </xf>
    <xf numFmtId="180" fontId="0" fillId="0" borderId="1" xfId="0" applyNumberForma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55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40" fontId="0" fillId="0" borderId="13" xfId="1" applyNumberFormat="1" applyFont="1" applyBorder="1" applyAlignment="1">
      <alignment horizontal="center" vertical="center"/>
    </xf>
    <xf numFmtId="40" fontId="0" fillId="0" borderId="17" xfId="1" applyNumberFormat="1" applyFont="1" applyBorder="1" applyAlignment="1">
      <alignment horizontal="center" vertical="center"/>
    </xf>
    <xf numFmtId="40" fontId="0" fillId="0" borderId="24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2" xfId="1" applyNumberFormat="1" applyFont="1" applyBorder="1">
      <alignment vertical="center"/>
    </xf>
    <xf numFmtId="0" fontId="5" fillId="0" borderId="4" xfId="0" applyFont="1" applyBorder="1" applyAlignment="1">
      <alignment vertical="center"/>
    </xf>
    <xf numFmtId="177" fontId="5" fillId="0" borderId="4" xfId="1" applyNumberFormat="1" applyFont="1" applyBorder="1">
      <alignment vertical="center"/>
    </xf>
    <xf numFmtId="0" fontId="5" fillId="0" borderId="25" xfId="0" applyFont="1" applyBorder="1" applyAlignment="1">
      <alignment vertical="center"/>
    </xf>
    <xf numFmtId="177" fontId="5" fillId="0" borderId="30" xfId="1" applyNumberFormat="1" applyFont="1" applyBorder="1">
      <alignment vertical="center"/>
    </xf>
    <xf numFmtId="177" fontId="5" fillId="0" borderId="31" xfId="1" applyNumberFormat="1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177" fontId="5" fillId="0" borderId="33" xfId="1" applyNumberFormat="1" applyFont="1" applyBorder="1">
      <alignment vertical="center"/>
    </xf>
    <xf numFmtId="177" fontId="5" fillId="0" borderId="34" xfId="1" applyNumberFormat="1" applyFont="1" applyBorder="1">
      <alignment vertical="center"/>
    </xf>
    <xf numFmtId="177" fontId="5" fillId="0" borderId="68" xfId="1" applyNumberFormat="1" applyFont="1" applyBorder="1">
      <alignment vertical="center"/>
    </xf>
    <xf numFmtId="177" fontId="5" fillId="0" borderId="56" xfId="1" applyNumberFormat="1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177" fontId="5" fillId="0" borderId="19" xfId="1" applyNumberFormat="1" applyFont="1" applyBorder="1">
      <alignment vertical="center"/>
    </xf>
    <xf numFmtId="177" fontId="5" fillId="0" borderId="55" xfId="1" applyNumberFormat="1" applyFont="1" applyBorder="1">
      <alignment vertical="center"/>
    </xf>
    <xf numFmtId="177" fontId="5" fillId="0" borderId="69" xfId="1" applyNumberFormat="1" applyFont="1" applyBorder="1">
      <alignment vertical="center"/>
    </xf>
    <xf numFmtId="177" fontId="5" fillId="0" borderId="54" xfId="1" applyNumberFormat="1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177" fontId="5" fillId="0" borderId="37" xfId="1" applyNumberFormat="1" applyFont="1" applyBorder="1">
      <alignment vertical="center"/>
    </xf>
    <xf numFmtId="177" fontId="5" fillId="0" borderId="38" xfId="1" applyNumberFormat="1" applyFont="1" applyBorder="1">
      <alignment vertical="center"/>
    </xf>
    <xf numFmtId="177" fontId="5" fillId="0" borderId="67" xfId="1" applyNumberFormat="1" applyFont="1" applyBorder="1">
      <alignment vertical="center"/>
    </xf>
    <xf numFmtId="177" fontId="5" fillId="0" borderId="52" xfId="1" applyNumberFormat="1" applyFont="1" applyBorder="1">
      <alignment vertical="center"/>
    </xf>
    <xf numFmtId="0" fontId="5" fillId="2" borderId="39" xfId="0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177" fontId="5" fillId="5" borderId="33" xfId="1" applyNumberFormat="1" applyFont="1" applyFill="1" applyBorder="1">
      <alignment vertical="center"/>
    </xf>
    <xf numFmtId="177" fontId="5" fillId="5" borderId="34" xfId="1" applyNumberFormat="1" applyFont="1" applyFill="1" applyBorder="1">
      <alignment vertical="center"/>
    </xf>
    <xf numFmtId="177" fontId="5" fillId="3" borderId="68" xfId="1" applyNumberFormat="1" applyFont="1" applyFill="1" applyBorder="1">
      <alignment vertical="center"/>
    </xf>
    <xf numFmtId="177" fontId="5" fillId="5" borderId="56" xfId="1" applyNumberFormat="1" applyFont="1" applyFill="1" applyBorder="1">
      <alignment vertical="center"/>
    </xf>
    <xf numFmtId="0" fontId="5" fillId="5" borderId="19" xfId="0" applyFont="1" applyFill="1" applyBorder="1" applyAlignment="1">
      <alignment vertical="center"/>
    </xf>
    <xf numFmtId="177" fontId="5" fillId="5" borderId="19" xfId="1" applyNumberFormat="1" applyFont="1" applyFill="1" applyBorder="1">
      <alignment vertical="center"/>
    </xf>
    <xf numFmtId="177" fontId="5" fillId="5" borderId="55" xfId="1" applyNumberFormat="1" applyFont="1" applyFill="1" applyBorder="1">
      <alignment vertical="center"/>
    </xf>
    <xf numFmtId="177" fontId="5" fillId="3" borderId="69" xfId="1" applyNumberFormat="1" applyFont="1" applyFill="1" applyBorder="1">
      <alignment vertical="center"/>
    </xf>
    <xf numFmtId="177" fontId="5" fillId="5" borderId="54" xfId="1" applyNumberFormat="1" applyFont="1" applyFill="1" applyBorder="1">
      <alignment vertical="center"/>
    </xf>
    <xf numFmtId="177" fontId="11" fillId="3" borderId="69" xfId="1" applyNumberFormat="1" applyFont="1" applyFill="1" applyBorder="1">
      <alignment vertical="center"/>
    </xf>
    <xf numFmtId="0" fontId="5" fillId="5" borderId="36" xfId="0" applyFont="1" applyFill="1" applyBorder="1" applyAlignment="1">
      <alignment vertical="center"/>
    </xf>
    <xf numFmtId="177" fontId="5" fillId="5" borderId="37" xfId="1" applyNumberFormat="1" applyFont="1" applyFill="1" applyBorder="1">
      <alignment vertical="center"/>
    </xf>
    <xf numFmtId="177" fontId="5" fillId="5" borderId="38" xfId="1" applyNumberFormat="1" applyFont="1" applyFill="1" applyBorder="1">
      <alignment vertical="center"/>
    </xf>
    <xf numFmtId="177" fontId="5" fillId="3" borderId="67" xfId="1" applyNumberFormat="1" applyFont="1" applyFill="1" applyBorder="1">
      <alignment vertical="center"/>
    </xf>
    <xf numFmtId="177" fontId="5" fillId="5" borderId="52" xfId="1" applyNumberFormat="1" applyFont="1" applyFill="1" applyBorder="1">
      <alignment vertical="center"/>
    </xf>
    <xf numFmtId="177" fontId="11" fillId="3" borderId="67" xfId="1" applyNumberFormat="1" applyFont="1" applyFill="1" applyBorder="1">
      <alignment vertical="center"/>
    </xf>
    <xf numFmtId="0" fontId="5" fillId="0" borderId="37" xfId="0" applyFont="1" applyBorder="1" applyAlignment="1">
      <alignment vertical="center"/>
    </xf>
    <xf numFmtId="40" fontId="0" fillId="3" borderId="3" xfId="1" applyNumberFormat="1" applyFont="1" applyFill="1" applyBorder="1">
      <alignment vertical="center"/>
    </xf>
    <xf numFmtId="40" fontId="0" fillId="0" borderId="28" xfId="0" applyNumberForma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40" fontId="0" fillId="0" borderId="24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2" fontId="0" fillId="7" borderId="4" xfId="0" applyNumberForma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0" fontId="0" fillId="0" borderId="0" xfId="0" applyNumberFormat="1" applyAlignment="1">
      <alignment vertical="center"/>
    </xf>
    <xf numFmtId="179" fontId="5" fillId="0" borderId="1" xfId="1" applyNumberFormat="1" applyFont="1" applyBorder="1">
      <alignment vertical="center"/>
    </xf>
    <xf numFmtId="181" fontId="5" fillId="0" borderId="1" xfId="0" applyNumberFormat="1" applyFont="1" applyBorder="1" applyAlignment="1">
      <alignment vertical="center"/>
    </xf>
    <xf numFmtId="40" fontId="5" fillId="0" borderId="1" xfId="1" applyNumberFormat="1" applyFont="1" applyBorder="1">
      <alignment vertical="center"/>
    </xf>
    <xf numFmtId="0" fontId="0" fillId="3" borderId="3" xfId="0" applyFill="1" applyBorder="1" applyAlignment="1">
      <alignment vertical="center"/>
    </xf>
    <xf numFmtId="40" fontId="0" fillId="3" borderId="1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40" fontId="0" fillId="3" borderId="22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0" fontId="0" fillId="3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17" fontId="0" fillId="0" borderId="1" xfId="0" applyNumberFormat="1" applyBorder="1" applyAlignment="1">
      <alignment vertical="center"/>
    </xf>
    <xf numFmtId="38" fontId="0" fillId="8" borderId="1" xfId="1" applyFont="1" applyFill="1" applyBorder="1">
      <alignment vertical="center"/>
    </xf>
    <xf numFmtId="38" fontId="0" fillId="8" borderId="34" xfId="1" applyFont="1" applyFill="1" applyBorder="1">
      <alignment vertical="center"/>
    </xf>
    <xf numFmtId="38" fontId="0" fillId="0" borderId="55" xfId="1" applyFont="1" applyBorder="1">
      <alignment vertical="center"/>
    </xf>
    <xf numFmtId="0" fontId="0" fillId="8" borderId="1" xfId="0" applyFill="1" applyBorder="1" applyAlignment="1">
      <alignment horizontal="center" vertical="center"/>
    </xf>
    <xf numFmtId="180" fontId="0" fillId="8" borderId="1" xfId="0" applyNumberFormat="1" applyFill="1" applyBorder="1" applyAlignment="1">
      <alignment vertical="center"/>
    </xf>
    <xf numFmtId="17" fontId="6" fillId="8" borderId="1" xfId="0" applyNumberFormat="1" applyFont="1" applyFill="1" applyBorder="1" applyAlignment="1">
      <alignment vertical="center"/>
    </xf>
    <xf numFmtId="38" fontId="6" fillId="8" borderId="1" xfId="0" applyNumberFormat="1" applyFont="1" applyFill="1" applyBorder="1" applyAlignment="1">
      <alignment vertical="center"/>
    </xf>
    <xf numFmtId="180" fontId="6" fillId="8" borderId="1" xfId="0" applyNumberFormat="1" applyFont="1" applyFill="1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17" fontId="0" fillId="8" borderId="1" xfId="0" applyNumberFormat="1" applyFill="1" applyBorder="1" applyAlignment="1">
      <alignment horizontal="center" vertical="center"/>
    </xf>
    <xf numFmtId="38" fontId="0" fillId="0" borderId="30" xfId="1" applyFont="1" applyBorder="1">
      <alignment vertical="center"/>
    </xf>
    <xf numFmtId="0" fontId="18" fillId="0" borderId="25" xfId="0" applyFont="1" applyBorder="1" applyAlignment="1">
      <alignment horizontal="center" vertical="center"/>
    </xf>
    <xf numFmtId="38" fontId="18" fillId="0" borderId="30" xfId="1" applyFont="1" applyBorder="1">
      <alignment vertical="center"/>
    </xf>
    <xf numFmtId="38" fontId="18" fillId="8" borderId="30" xfId="1" applyFont="1" applyFill="1" applyBorder="1">
      <alignment vertical="center"/>
    </xf>
    <xf numFmtId="38" fontId="18" fillId="0" borderId="67" xfId="1" applyFont="1" applyBorder="1">
      <alignment vertical="center"/>
    </xf>
    <xf numFmtId="38" fontId="18" fillId="0" borderId="31" xfId="1" applyFont="1" applyBorder="1">
      <alignment vertical="center"/>
    </xf>
    <xf numFmtId="38" fontId="0" fillId="0" borderId="67" xfId="1" applyFont="1" applyBorder="1">
      <alignment vertical="center"/>
    </xf>
    <xf numFmtId="0" fontId="0" fillId="0" borderId="19" xfId="0" applyBorder="1"/>
    <xf numFmtId="0" fontId="0" fillId="0" borderId="71" xfId="0" applyBorder="1" applyAlignment="1">
      <alignment horizontal="center"/>
    </xf>
    <xf numFmtId="38" fontId="0" fillId="7" borderId="2" xfId="1" applyFont="1" applyFill="1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9" fillId="0" borderId="0" xfId="2" applyBorder="1" applyAlignment="1" applyProtection="1">
      <alignment horizontal="left" vertical="center" wrapText="1"/>
      <protection locked="0"/>
    </xf>
    <xf numFmtId="0" fontId="9" fillId="0" borderId="3" xfId="2" applyBorder="1" applyAlignment="1" applyProtection="1">
      <alignment vertical="center" shrinkToFit="1"/>
      <protection locked="0"/>
    </xf>
    <xf numFmtId="0" fontId="9" fillId="0" borderId="4" xfId="2" applyBorder="1" applyAlignment="1" applyProtection="1">
      <alignment vertical="center" shrinkToFit="1"/>
      <protection locked="0"/>
    </xf>
    <xf numFmtId="38" fontId="0" fillId="0" borderId="3" xfId="0" applyNumberFormat="1" applyBorder="1" applyAlignment="1">
      <alignment vertical="center"/>
    </xf>
    <xf numFmtId="0" fontId="9" fillId="0" borderId="0" xfId="2" applyBorder="1" applyProtection="1">
      <alignment vertical="center"/>
      <protection locked="0"/>
    </xf>
    <xf numFmtId="40" fontId="0" fillId="0" borderId="3" xfId="0" applyNumberFormat="1" applyBorder="1" applyAlignment="1">
      <alignment vertical="center"/>
    </xf>
    <xf numFmtId="177" fontId="0" fillId="0" borderId="45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/>
    <xf numFmtId="177" fontId="5" fillId="0" borderId="2" xfId="1" applyNumberFormat="1" applyFont="1" applyBorder="1" applyAlignment="1"/>
    <xf numFmtId="177" fontId="5" fillId="3" borderId="30" xfId="1" applyNumberFormat="1" applyFont="1" applyFill="1" applyBorder="1" applyAlignment="1"/>
    <xf numFmtId="177" fontId="5" fillId="3" borderId="31" xfId="1" applyNumberFormat="1" applyFont="1" applyFill="1" applyBorder="1" applyAlignment="1"/>
    <xf numFmtId="0" fontId="5" fillId="0" borderId="3" xfId="0" applyFont="1" applyBorder="1"/>
    <xf numFmtId="177" fontId="5" fillId="0" borderId="4" xfId="1" applyNumberFormat="1" applyFont="1" applyBorder="1" applyAlignment="1"/>
    <xf numFmtId="177" fontId="5" fillId="0" borderId="3" xfId="1" applyNumberFormat="1" applyFont="1" applyBorder="1" applyAlignment="1"/>
    <xf numFmtId="177" fontId="5" fillId="0" borderId="1" xfId="0" applyNumberFormat="1" applyFont="1" applyBorder="1"/>
    <xf numFmtId="176" fontId="0" fillId="0" borderId="1" xfId="0" applyNumberFormat="1" applyBorder="1" applyAlignment="1">
      <alignment horizontal="right" vertical="center"/>
    </xf>
    <xf numFmtId="177" fontId="0" fillId="0" borderId="46" xfId="1" applyNumberFormat="1" applyFont="1" applyBorder="1" applyAlignment="1">
      <alignment horizontal="right" vertical="center"/>
    </xf>
    <xf numFmtId="40" fontId="0" fillId="0" borderId="54" xfId="1" applyNumberFormat="1" applyFont="1" applyBorder="1" applyAlignment="1">
      <alignment horizontal="right" vertical="center"/>
    </xf>
    <xf numFmtId="40" fontId="0" fillId="0" borderId="4" xfId="1" applyNumberFormat="1" applyFont="1" applyBorder="1" applyAlignment="1">
      <alignment horizontal="right" vertical="center"/>
    </xf>
    <xf numFmtId="40" fontId="0" fillId="0" borderId="46" xfId="1" applyNumberFormat="1" applyFont="1" applyBorder="1" applyAlignment="1">
      <alignment horizontal="right" vertical="center"/>
    </xf>
    <xf numFmtId="40" fontId="0" fillId="0" borderId="19" xfId="1" applyNumberFormat="1" applyFont="1" applyBorder="1" applyAlignment="1">
      <alignment horizontal="right" vertical="center"/>
    </xf>
    <xf numFmtId="40" fontId="0" fillId="0" borderId="1" xfId="1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44" fillId="10" borderId="0" xfId="0" applyFont="1" applyFill="1" applyAlignment="1">
      <alignment vertical="center"/>
    </xf>
    <xf numFmtId="0" fontId="45" fillId="10" borderId="0" xfId="0" applyFont="1" applyFill="1" applyAlignment="1">
      <alignment vertical="center"/>
    </xf>
    <xf numFmtId="0" fontId="46" fillId="10" borderId="0" xfId="0" applyFont="1" applyFill="1" applyAlignment="1">
      <alignment vertical="center"/>
    </xf>
    <xf numFmtId="0" fontId="47" fillId="10" borderId="0" xfId="0" applyFont="1" applyFill="1" applyAlignment="1">
      <alignment vertical="center"/>
    </xf>
    <xf numFmtId="0" fontId="46" fillId="10" borderId="72" xfId="0" applyFont="1" applyFill="1" applyBorder="1" applyAlignment="1">
      <alignment vertical="center"/>
    </xf>
    <xf numFmtId="0" fontId="49" fillId="10" borderId="0" xfId="0" applyFont="1" applyFill="1" applyAlignment="1">
      <alignment vertical="center"/>
    </xf>
    <xf numFmtId="0" fontId="46" fillId="10" borderId="89" xfId="0" applyFont="1" applyFill="1" applyBorder="1" applyAlignment="1">
      <alignment horizontal="center" vertical="center"/>
    </xf>
    <xf numFmtId="0" fontId="46" fillId="11" borderId="91" xfId="0" applyFont="1" applyFill="1" applyBorder="1" applyAlignment="1" applyProtection="1">
      <alignment vertical="center"/>
      <protection locked="0"/>
    </xf>
    <xf numFmtId="0" fontId="49" fillId="10" borderId="85" xfId="0" applyFont="1" applyFill="1" applyBorder="1" applyAlignment="1">
      <alignment horizontal="right" vertical="center"/>
    </xf>
    <xf numFmtId="0" fontId="46" fillId="0" borderId="73" xfId="0" applyFont="1" applyFill="1" applyBorder="1" applyAlignment="1" applyProtection="1">
      <alignment vertical="center"/>
      <protection locked="0"/>
    </xf>
    <xf numFmtId="0" fontId="46" fillId="0" borderId="74" xfId="0" applyFont="1" applyFill="1" applyBorder="1" applyAlignment="1" applyProtection="1">
      <alignment vertical="center"/>
      <protection locked="0"/>
    </xf>
    <xf numFmtId="0" fontId="46" fillId="0" borderId="75" xfId="0" applyFont="1" applyFill="1" applyBorder="1" applyAlignment="1" applyProtection="1">
      <alignment vertical="center"/>
      <protection locked="0"/>
    </xf>
    <xf numFmtId="0" fontId="44" fillId="10" borderId="0" xfId="0" applyFont="1" applyFill="1" applyAlignment="1">
      <alignment horizontal="center" vertical="center"/>
    </xf>
    <xf numFmtId="0" fontId="44" fillId="10" borderId="0" xfId="0" applyFont="1" applyFill="1" applyBorder="1" applyAlignment="1">
      <alignment horizontal="right" vertical="center"/>
    </xf>
    <xf numFmtId="2" fontId="44" fillId="10" borderId="0" xfId="0" applyNumberFormat="1" applyFont="1" applyFill="1" applyBorder="1" applyAlignment="1" applyProtection="1">
      <alignment vertical="center"/>
    </xf>
    <xf numFmtId="0" fontId="44" fillId="0" borderId="72" xfId="0" applyFont="1" applyFill="1" applyBorder="1" applyAlignment="1" applyProtection="1">
      <alignment vertical="center"/>
      <protection locked="0"/>
    </xf>
    <xf numFmtId="0" fontId="44" fillId="10" borderId="0" xfId="0" applyFont="1" applyFill="1" applyBorder="1" applyAlignment="1">
      <alignment vertical="center"/>
    </xf>
    <xf numFmtId="0" fontId="53" fillId="10" borderId="0" xfId="0" applyFont="1" applyFill="1" applyAlignment="1">
      <alignment vertical="center"/>
    </xf>
    <xf numFmtId="0" fontId="40" fillId="10" borderId="0" xfId="0" applyFont="1" applyFill="1" applyAlignment="1">
      <alignment vertical="center"/>
    </xf>
    <xf numFmtId="0" fontId="47" fillId="10" borderId="0" xfId="0" applyFont="1" applyFill="1" applyAlignment="1" applyProtection="1">
      <alignment vertical="center"/>
    </xf>
    <xf numFmtId="0" fontId="53" fillId="10" borderId="0" xfId="0" applyFont="1" applyFill="1" applyAlignment="1" applyProtection="1">
      <alignment vertical="center"/>
    </xf>
    <xf numFmtId="0" fontId="44" fillId="10" borderId="0" xfId="0" applyFont="1" applyFill="1" applyAlignment="1" applyProtection="1">
      <alignment vertical="center"/>
    </xf>
    <xf numFmtId="0" fontId="44" fillId="10" borderId="0" xfId="0" applyFont="1" applyFill="1" applyAlignment="1" applyProtection="1">
      <alignment vertical="center"/>
      <protection locked="0"/>
    </xf>
    <xf numFmtId="0" fontId="44" fillId="10" borderId="0" xfId="0" applyFont="1" applyFill="1" applyBorder="1" applyAlignment="1">
      <alignment horizontal="left" vertical="center"/>
    </xf>
    <xf numFmtId="0" fontId="44" fillId="10" borderId="78" xfId="0" applyFont="1" applyFill="1" applyBorder="1" applyAlignment="1">
      <alignment horizontal="center" vertical="center"/>
    </xf>
    <xf numFmtId="0" fontId="44" fillId="10" borderId="77" xfId="0" applyFont="1" applyFill="1" applyBorder="1" applyAlignment="1">
      <alignment horizontal="center" vertical="center"/>
    </xf>
    <xf numFmtId="0" fontId="44" fillId="0" borderId="72" xfId="0" applyFont="1" applyFill="1" applyBorder="1" applyAlignment="1" applyProtection="1">
      <alignment horizontal="right" vertical="center"/>
      <protection locked="0"/>
    </xf>
    <xf numFmtId="0" fontId="44" fillId="10" borderId="0" xfId="0" applyFont="1" applyFill="1" applyAlignment="1">
      <alignment horizontal="right" vertical="center"/>
    </xf>
    <xf numFmtId="0" fontId="44" fillId="10" borderId="0" xfId="0" applyFont="1" applyFill="1" applyAlignment="1">
      <alignment horizontal="left" vertical="center"/>
    </xf>
    <xf numFmtId="182" fontId="44" fillId="0" borderId="72" xfId="1" applyNumberFormat="1" applyFont="1" applyFill="1" applyBorder="1" applyProtection="1">
      <alignment vertical="center"/>
      <protection locked="0"/>
    </xf>
    <xf numFmtId="0" fontId="45" fillId="10" borderId="0" xfId="0" applyFont="1" applyFill="1" applyBorder="1" applyAlignment="1">
      <alignment horizontal="left" vertical="center"/>
    </xf>
    <xf numFmtId="0" fontId="41" fillId="10" borderId="0" xfId="0" applyFont="1" applyFill="1" applyAlignment="1">
      <alignment vertical="center"/>
    </xf>
    <xf numFmtId="0" fontId="44" fillId="10" borderId="0" xfId="0" applyFont="1" applyFill="1" applyBorder="1" applyAlignment="1">
      <alignment horizontal="center" vertical="center"/>
    </xf>
    <xf numFmtId="0" fontId="41" fillId="10" borderId="36" xfId="0" applyFont="1" applyFill="1" applyBorder="1" applyAlignment="1">
      <alignment horizontal="center" vertical="center"/>
    </xf>
    <xf numFmtId="0" fontId="41" fillId="10" borderId="37" xfId="0" applyFont="1" applyFill="1" applyBorder="1" applyAlignment="1">
      <alignment horizontal="center" vertical="center"/>
    </xf>
    <xf numFmtId="0" fontId="41" fillId="10" borderId="39" xfId="0" applyFont="1" applyFill="1" applyBorder="1" applyAlignment="1">
      <alignment horizontal="center" vertical="center"/>
    </xf>
    <xf numFmtId="0" fontId="41" fillId="10" borderId="19" xfId="0" applyFont="1" applyFill="1" applyBorder="1" applyAlignment="1">
      <alignment horizontal="center" vertical="center"/>
    </xf>
    <xf numFmtId="0" fontId="41" fillId="10" borderId="20" xfId="0" applyFont="1" applyFill="1" applyBorder="1" applyAlignment="1">
      <alignment horizontal="center" vertical="center"/>
    </xf>
    <xf numFmtId="0" fontId="57" fillId="10" borderId="1" xfId="0" applyFont="1" applyFill="1" applyBorder="1" applyAlignment="1">
      <alignment horizontal="center" vertical="center"/>
    </xf>
    <xf numFmtId="0" fontId="57" fillId="10" borderId="17" xfId="0" applyFont="1" applyFill="1" applyBorder="1" applyAlignment="1">
      <alignment horizontal="center" vertical="center"/>
    </xf>
    <xf numFmtId="0" fontId="57" fillId="10" borderId="0" xfId="0" applyFont="1" applyFill="1" applyAlignment="1">
      <alignment vertical="center"/>
    </xf>
    <xf numFmtId="0" fontId="41" fillId="10" borderId="1" xfId="0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1" fillId="10" borderId="22" xfId="0" applyFont="1" applyFill="1" applyBorder="1" applyAlignment="1">
      <alignment horizontal="center" vertical="center"/>
    </xf>
    <xf numFmtId="0" fontId="41" fillId="10" borderId="24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59" fillId="10" borderId="0" xfId="0" applyFont="1" applyFill="1" applyBorder="1" applyAlignment="1">
      <alignment horizontal="center" vertical="center"/>
    </xf>
    <xf numFmtId="0" fontId="41" fillId="10" borderId="80" xfId="0" applyFont="1" applyFill="1" applyBorder="1" applyAlignment="1">
      <alignment horizontal="center" vertical="center"/>
    </xf>
    <xf numFmtId="0" fontId="44" fillId="10" borderId="81" xfId="0" applyFont="1" applyFill="1" applyBorder="1" applyAlignment="1">
      <alignment horizontal="center" vertical="center"/>
    </xf>
    <xf numFmtId="0" fontId="44" fillId="10" borderId="79" xfId="0" applyFont="1" applyFill="1" applyBorder="1" applyAlignment="1">
      <alignment horizontal="center" vertical="center"/>
    </xf>
    <xf numFmtId="0" fontId="44" fillId="10" borderId="80" xfId="0" applyFont="1" applyFill="1" applyBorder="1" applyAlignment="1">
      <alignment horizontal="right" vertical="center"/>
    </xf>
    <xf numFmtId="0" fontId="44" fillId="10" borderId="79" xfId="0" applyFont="1" applyFill="1" applyBorder="1" applyAlignment="1">
      <alignment vertical="center"/>
    </xf>
    <xf numFmtId="0" fontId="44" fillId="10" borderId="78" xfId="0" applyFont="1" applyFill="1" applyBorder="1" applyAlignment="1">
      <alignment horizontal="right" vertical="center"/>
    </xf>
    <xf numFmtId="0" fontId="41" fillId="10" borderId="80" xfId="0" applyFont="1" applyFill="1" applyBorder="1" applyAlignment="1">
      <alignment vertical="center"/>
    </xf>
    <xf numFmtId="0" fontId="44" fillId="10" borderId="81" xfId="0" applyFont="1" applyFill="1" applyBorder="1" applyAlignment="1">
      <alignment vertical="center"/>
    </xf>
    <xf numFmtId="0" fontId="44" fillId="10" borderId="80" xfId="0" applyFont="1" applyFill="1" applyBorder="1" applyAlignment="1">
      <alignment vertical="center"/>
    </xf>
    <xf numFmtId="180" fontId="44" fillId="10" borderId="78" xfId="0" applyNumberFormat="1" applyFont="1" applyFill="1" applyBorder="1" applyAlignment="1">
      <alignment vertical="center"/>
    </xf>
    <xf numFmtId="2" fontId="44" fillId="10" borderId="80" xfId="0" applyNumberFormat="1" applyFont="1" applyFill="1" applyBorder="1" applyAlignment="1">
      <alignment vertical="center"/>
    </xf>
    <xf numFmtId="0" fontId="44" fillId="10" borderId="78" xfId="0" applyFont="1" applyFill="1" applyBorder="1" applyAlignment="1">
      <alignment vertical="center"/>
    </xf>
    <xf numFmtId="2" fontId="44" fillId="10" borderId="83" xfId="0" applyNumberFormat="1" applyFont="1" applyFill="1" applyBorder="1" applyAlignment="1">
      <alignment vertical="center"/>
    </xf>
    <xf numFmtId="0" fontId="44" fillId="10" borderId="84" xfId="0" applyFont="1" applyFill="1" applyBorder="1" applyAlignment="1">
      <alignment vertical="center"/>
    </xf>
    <xf numFmtId="0" fontId="45" fillId="10" borderId="0" xfId="0" applyFont="1" applyFill="1" applyAlignment="1">
      <alignment horizontal="left" vertical="center"/>
    </xf>
    <xf numFmtId="0" fontId="59" fillId="10" borderId="0" xfId="0" applyFont="1" applyFill="1" applyAlignment="1">
      <alignment vertical="center"/>
    </xf>
    <xf numFmtId="0" fontId="41" fillId="10" borderId="55" xfId="0" applyFont="1" applyFill="1" applyBorder="1" applyAlignment="1">
      <alignment horizontal="center" vertical="center"/>
    </xf>
    <xf numFmtId="0" fontId="41" fillId="10" borderId="20" xfId="0" applyFont="1" applyFill="1" applyBorder="1" applyAlignment="1">
      <alignment vertical="center"/>
    </xf>
    <xf numFmtId="0" fontId="41" fillId="10" borderId="2" xfId="0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vertical="center"/>
    </xf>
    <xf numFmtId="0" fontId="57" fillId="10" borderId="2" xfId="0" applyFont="1" applyFill="1" applyBorder="1" applyAlignment="1">
      <alignment horizontal="center" vertical="center"/>
    </xf>
    <xf numFmtId="0" fontId="57" fillId="10" borderId="17" xfId="0" applyFont="1" applyFill="1" applyBorder="1" applyAlignment="1">
      <alignment vertical="center"/>
    </xf>
    <xf numFmtId="0" fontId="41" fillId="10" borderId="23" xfId="0" applyFont="1" applyFill="1" applyBorder="1" applyAlignment="1">
      <alignment horizontal="center" vertical="center"/>
    </xf>
    <xf numFmtId="0" fontId="41" fillId="10" borderId="24" xfId="0" applyFont="1" applyFill="1" applyBorder="1" applyAlignment="1">
      <alignment vertical="center"/>
    </xf>
    <xf numFmtId="0" fontId="45" fillId="10" borderId="41" xfId="0" applyFont="1" applyFill="1" applyBorder="1" applyAlignment="1">
      <alignment vertical="center"/>
    </xf>
    <xf numFmtId="0" fontId="45" fillId="10" borderId="66" xfId="0" applyFont="1" applyFill="1" applyBorder="1" applyAlignment="1">
      <alignment vertical="center"/>
    </xf>
    <xf numFmtId="0" fontId="44" fillId="10" borderId="66" xfId="0" applyFont="1" applyFill="1" applyBorder="1" applyAlignment="1">
      <alignment vertical="center"/>
    </xf>
    <xf numFmtId="0" fontId="44" fillId="10" borderId="42" xfId="0" applyFont="1" applyFill="1" applyBorder="1" applyAlignment="1">
      <alignment vertical="center"/>
    </xf>
    <xf numFmtId="0" fontId="44" fillId="10" borderId="43" xfId="0" applyFont="1" applyFill="1" applyBorder="1" applyAlignment="1">
      <alignment vertical="center"/>
    </xf>
    <xf numFmtId="0" fontId="44" fillId="10" borderId="44" xfId="0" applyFont="1" applyFill="1" applyBorder="1" applyAlignment="1">
      <alignment vertical="center"/>
    </xf>
    <xf numFmtId="0" fontId="44" fillId="10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vertical="center"/>
    </xf>
    <xf numFmtId="38" fontId="44" fillId="10" borderId="1" xfId="0" applyNumberFormat="1" applyFont="1" applyFill="1" applyBorder="1" applyAlignment="1">
      <alignment vertical="center"/>
    </xf>
    <xf numFmtId="40" fontId="44" fillId="10" borderId="1" xfId="0" applyNumberFormat="1" applyFont="1" applyFill="1" applyBorder="1" applyAlignment="1">
      <alignment vertical="center"/>
    </xf>
    <xf numFmtId="0" fontId="44" fillId="10" borderId="48" xfId="0" applyFont="1" applyFill="1" applyBorder="1" applyAlignment="1">
      <alignment vertical="center"/>
    </xf>
    <xf numFmtId="0" fontId="44" fillId="10" borderId="6" xfId="0" applyFont="1" applyFill="1" applyBorder="1" applyAlignment="1">
      <alignment vertical="center"/>
    </xf>
    <xf numFmtId="0" fontId="44" fillId="10" borderId="49" xfId="0" applyFont="1" applyFill="1" applyBorder="1" applyAlignment="1">
      <alignment vertical="center"/>
    </xf>
    <xf numFmtId="0" fontId="55" fillId="10" borderId="0" xfId="0" applyFont="1" applyFill="1" applyAlignment="1">
      <alignment vertical="center"/>
    </xf>
    <xf numFmtId="0" fontId="59" fillId="10" borderId="82" xfId="0" applyFont="1" applyFill="1" applyBorder="1" applyAlignment="1">
      <alignment horizontal="center" vertical="center"/>
    </xf>
    <xf numFmtId="0" fontId="59" fillId="10" borderId="36" xfId="0" applyFont="1" applyFill="1" applyBorder="1" applyAlignment="1">
      <alignment horizontal="center" vertical="center"/>
    </xf>
    <xf numFmtId="0" fontId="59" fillId="10" borderId="37" xfId="0" applyFont="1" applyFill="1" applyBorder="1" applyAlignment="1">
      <alignment horizontal="center" vertical="center"/>
    </xf>
    <xf numFmtId="0" fontId="59" fillId="10" borderId="39" xfId="0" applyFont="1" applyFill="1" applyBorder="1" applyAlignment="1">
      <alignment horizontal="center" vertical="center"/>
    </xf>
    <xf numFmtId="0" fontId="59" fillId="10" borderId="0" xfId="0" applyFont="1" applyFill="1" applyBorder="1" applyAlignment="1">
      <alignment vertical="center"/>
    </xf>
    <xf numFmtId="0" fontId="59" fillId="10" borderId="0" xfId="0" applyFont="1" applyFill="1" applyAlignment="1">
      <alignment horizontal="left" vertical="center"/>
    </xf>
    <xf numFmtId="0" fontId="45" fillId="10" borderId="0" xfId="0" applyFont="1" applyFill="1" applyBorder="1" applyAlignment="1">
      <alignment horizontal="left" vertical="center"/>
    </xf>
    <xf numFmtId="0" fontId="45" fillId="10" borderId="0" xfId="0" applyFont="1" applyFill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vertical="center"/>
    </xf>
    <xf numFmtId="0" fontId="44" fillId="0" borderId="6" xfId="0" applyFont="1" applyBorder="1" applyAlignment="1">
      <alignment horizontal="center" vertical="center"/>
    </xf>
    <xf numFmtId="0" fontId="44" fillId="9" borderId="7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9" borderId="70" xfId="0" applyFont="1" applyFill="1" applyBorder="1" applyAlignment="1">
      <alignment vertical="center"/>
    </xf>
    <xf numFmtId="0" fontId="59" fillId="9" borderId="0" xfId="0" applyFont="1" applyFill="1" applyBorder="1" applyAlignment="1">
      <alignment horizontal="right" vertical="center"/>
    </xf>
    <xf numFmtId="0" fontId="44" fillId="0" borderId="1" xfId="0" applyFont="1" applyBorder="1" applyAlignment="1">
      <alignment vertical="center"/>
    </xf>
    <xf numFmtId="0" fontId="44" fillId="9" borderId="0" xfId="0" applyFont="1" applyFill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44" fillId="9" borderId="0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9" borderId="44" xfId="0" applyFont="1" applyFill="1" applyBorder="1" applyAlignment="1">
      <alignment vertical="center"/>
    </xf>
    <xf numFmtId="0" fontId="44" fillId="9" borderId="43" xfId="0" applyFont="1" applyFill="1" applyBorder="1" applyAlignment="1">
      <alignment horizontal="center" vertical="center"/>
    </xf>
    <xf numFmtId="0" fontId="44" fillId="9" borderId="0" xfId="0" applyFont="1" applyFill="1" applyAlignment="1">
      <alignment horizontal="center" vertical="center"/>
    </xf>
    <xf numFmtId="0" fontId="44" fillId="9" borderId="41" xfId="0" applyFont="1" applyFill="1" applyBorder="1" applyAlignment="1">
      <alignment horizontal="center" vertical="center"/>
    </xf>
    <xf numFmtId="0" fontId="44" fillId="9" borderId="47" xfId="0" applyFont="1" applyFill="1" applyBorder="1" applyAlignment="1">
      <alignment horizontal="right" vertical="center"/>
    </xf>
    <xf numFmtId="0" fontId="44" fillId="9" borderId="43" xfId="0" applyFont="1" applyFill="1" applyBorder="1" applyAlignment="1">
      <alignment horizontal="left" vertical="center"/>
    </xf>
    <xf numFmtId="0" fontId="44" fillId="9" borderId="0" xfId="0" applyFont="1" applyFill="1" applyBorder="1" applyAlignment="1">
      <alignment horizontal="center" vertical="center"/>
    </xf>
    <xf numFmtId="2" fontId="44" fillId="0" borderId="1" xfId="0" applyNumberFormat="1" applyFont="1" applyBorder="1" applyAlignment="1">
      <alignment horizontal="center" vertical="center"/>
    </xf>
    <xf numFmtId="38" fontId="44" fillId="0" borderId="1" xfId="0" applyNumberFormat="1" applyFont="1" applyBorder="1" applyAlignment="1">
      <alignment horizontal="right" vertical="center"/>
    </xf>
    <xf numFmtId="0" fontId="44" fillId="9" borderId="0" xfId="0" applyFont="1" applyFill="1" applyBorder="1" applyAlignment="1">
      <alignment horizontal="left" vertical="center"/>
    </xf>
    <xf numFmtId="0" fontId="44" fillId="9" borderId="62" xfId="0" applyFont="1" applyFill="1" applyBorder="1" applyAlignment="1">
      <alignment horizontal="right" vertical="center"/>
    </xf>
    <xf numFmtId="0" fontId="45" fillId="9" borderId="43" xfId="0" applyFont="1" applyFill="1" applyBorder="1" applyAlignment="1">
      <alignment horizontal="center" vertical="center"/>
    </xf>
    <xf numFmtId="0" fontId="45" fillId="9" borderId="62" xfId="0" applyFont="1" applyFill="1" applyBorder="1" applyAlignment="1">
      <alignment horizontal="right" vertical="center"/>
    </xf>
    <xf numFmtId="0" fontId="41" fillId="9" borderId="7" xfId="0" applyFont="1" applyFill="1" applyBorder="1" applyAlignment="1">
      <alignment vertical="center"/>
    </xf>
    <xf numFmtId="0" fontId="44" fillId="9" borderId="8" xfId="0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1" fillId="9" borderId="9" xfId="0" applyFont="1" applyFill="1" applyBorder="1" applyAlignment="1">
      <alignment vertical="center"/>
    </xf>
    <xf numFmtId="0" fontId="41" fillId="9" borderId="8" xfId="0" applyFont="1" applyFill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9" borderId="50" xfId="0" applyFont="1" applyFill="1" applyBorder="1" applyAlignment="1">
      <alignment horizontal="center" vertical="center"/>
    </xf>
    <xf numFmtId="0" fontId="45" fillId="9" borderId="52" xfId="0" applyFont="1" applyFill="1" applyBorder="1" applyAlignment="1">
      <alignment horizontal="right" vertical="center"/>
    </xf>
    <xf numFmtId="0" fontId="44" fillId="9" borderId="1" xfId="0" applyFont="1" applyFill="1" applyBorder="1" applyAlignment="1">
      <alignment horizontal="center" vertical="center"/>
    </xf>
    <xf numFmtId="0" fontId="44" fillId="9" borderId="6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left" vertical="center"/>
    </xf>
    <xf numFmtId="0" fontId="44" fillId="0" borderId="2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1" fillId="0" borderId="46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9" borderId="18" xfId="0" applyFont="1" applyFill="1" applyBorder="1" applyAlignment="1">
      <alignment horizontal="center" vertical="center" shrinkToFit="1"/>
    </xf>
    <xf numFmtId="0" fontId="44" fillId="9" borderId="19" xfId="0" applyFont="1" applyFill="1" applyBorder="1" applyAlignment="1">
      <alignment horizontal="center" vertical="center" shrinkToFit="1"/>
    </xf>
    <xf numFmtId="0" fontId="44" fillId="9" borderId="20" xfId="0" applyFont="1" applyFill="1" applyBorder="1" applyAlignment="1">
      <alignment horizontal="center" vertical="center" shrinkToFit="1"/>
    </xf>
    <xf numFmtId="0" fontId="44" fillId="9" borderId="22" xfId="0" applyFont="1" applyFill="1" applyBorder="1" applyAlignment="1">
      <alignment horizontal="center" vertical="center"/>
    </xf>
    <xf numFmtId="0" fontId="44" fillId="9" borderId="23" xfId="0" applyFont="1" applyFill="1" applyBorder="1" applyAlignment="1">
      <alignment horizontal="center" vertical="center"/>
    </xf>
    <xf numFmtId="0" fontId="44" fillId="9" borderId="21" xfId="0" applyFont="1" applyFill="1" applyBorder="1" applyAlignment="1">
      <alignment horizontal="center" vertical="center"/>
    </xf>
    <xf numFmtId="0" fontId="44" fillId="9" borderId="24" xfId="0" applyFont="1" applyFill="1" applyBorder="1" applyAlignment="1">
      <alignment horizontal="center" vertical="center"/>
    </xf>
    <xf numFmtId="0" fontId="44" fillId="9" borderId="65" xfId="0" applyFont="1" applyFill="1" applyBorder="1" applyAlignment="1">
      <alignment horizontal="center" vertical="center"/>
    </xf>
    <xf numFmtId="0" fontId="44" fillId="9" borderId="26" xfId="0" applyFont="1" applyFill="1" applyBorder="1" applyAlignment="1">
      <alignment horizontal="center" vertical="center"/>
    </xf>
    <xf numFmtId="0" fontId="44" fillId="9" borderId="27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40" fontId="44" fillId="0" borderId="28" xfId="1" applyNumberFormat="1" applyFont="1" applyBorder="1" applyAlignment="1">
      <alignment horizontal="center" vertical="center"/>
    </xf>
    <xf numFmtId="176" fontId="44" fillId="0" borderId="45" xfId="0" applyNumberFormat="1" applyFont="1" applyBorder="1" applyAlignment="1">
      <alignment horizontal="right" vertical="center"/>
    </xf>
    <xf numFmtId="38" fontId="44" fillId="0" borderId="57" xfId="1" applyFont="1" applyBorder="1" applyAlignment="1">
      <alignment horizontal="right" vertical="center"/>
    </xf>
    <xf numFmtId="0" fontId="44" fillId="0" borderId="57" xfId="0" applyFont="1" applyBorder="1" applyAlignment="1">
      <alignment horizontal="right" vertical="center"/>
    </xf>
    <xf numFmtId="177" fontId="44" fillId="0" borderId="57" xfId="1" applyNumberFormat="1" applyFont="1" applyBorder="1" applyAlignment="1">
      <alignment horizontal="right" vertical="center"/>
    </xf>
    <xf numFmtId="38" fontId="44" fillId="0" borderId="53" xfId="1" applyFont="1" applyBorder="1" applyAlignment="1">
      <alignment horizontal="right" vertical="center"/>
    </xf>
    <xf numFmtId="0" fontId="44" fillId="0" borderId="26" xfId="0" applyFont="1" applyBorder="1" applyAlignment="1">
      <alignment horizontal="center" vertical="center"/>
    </xf>
    <xf numFmtId="176" fontId="44" fillId="0" borderId="6" xfId="0" applyNumberFormat="1" applyFont="1" applyBorder="1" applyAlignment="1">
      <alignment horizontal="center" vertical="center"/>
    </xf>
    <xf numFmtId="176" fontId="44" fillId="0" borderId="50" xfId="0" applyNumberFormat="1" applyFont="1" applyBorder="1" applyAlignment="1">
      <alignment horizontal="left" vertical="center"/>
    </xf>
    <xf numFmtId="176" fontId="44" fillId="0" borderId="37" xfId="0" applyNumberFormat="1" applyFont="1" applyBorder="1" applyAlignment="1">
      <alignment horizontal="left" vertical="center"/>
    </xf>
    <xf numFmtId="38" fontId="44" fillId="0" borderId="39" xfId="1" applyFont="1" applyBorder="1" applyAlignment="1">
      <alignment horizontal="right" vertical="center"/>
    </xf>
    <xf numFmtId="40" fontId="44" fillId="0" borderId="13" xfId="1" applyNumberFormat="1" applyFont="1" applyBorder="1" applyAlignment="1">
      <alignment horizontal="center" vertical="center"/>
    </xf>
    <xf numFmtId="0" fontId="44" fillId="0" borderId="7" xfId="0" applyFont="1" applyBorder="1" applyAlignment="1">
      <alignment horizontal="right" vertical="center"/>
    </xf>
    <xf numFmtId="38" fontId="44" fillId="0" borderId="8" xfId="1" applyFont="1" applyBorder="1" applyAlignment="1">
      <alignment horizontal="right" vertical="center"/>
    </xf>
    <xf numFmtId="0" fontId="44" fillId="0" borderId="8" xfId="0" applyFont="1" applyBorder="1" applyAlignment="1">
      <alignment horizontal="right" vertical="center"/>
    </xf>
    <xf numFmtId="177" fontId="44" fillId="0" borderId="8" xfId="1" applyNumberFormat="1" applyFont="1" applyBorder="1" applyAlignment="1">
      <alignment horizontal="right" vertical="center"/>
    </xf>
    <xf numFmtId="38" fontId="44" fillId="0" borderId="13" xfId="1" applyFont="1" applyBorder="1" applyAlignment="1">
      <alignment horizontal="right" vertical="center"/>
    </xf>
    <xf numFmtId="0" fontId="44" fillId="0" borderId="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88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/>
    </xf>
    <xf numFmtId="40" fontId="44" fillId="0" borderId="17" xfId="1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right" vertical="center"/>
    </xf>
    <xf numFmtId="38" fontId="44" fillId="0" borderId="1" xfId="1" applyFont="1" applyBorder="1" applyAlignment="1">
      <alignment horizontal="right" vertical="center"/>
    </xf>
    <xf numFmtId="0" fontId="44" fillId="0" borderId="1" xfId="0" applyFont="1" applyBorder="1" applyAlignment="1">
      <alignment horizontal="right" vertical="center"/>
    </xf>
    <xf numFmtId="177" fontId="44" fillId="0" borderId="1" xfId="1" applyNumberFormat="1" applyFont="1" applyBorder="1" applyAlignment="1">
      <alignment horizontal="right" vertical="center"/>
    </xf>
    <xf numFmtId="38" fontId="44" fillId="0" borderId="17" xfId="1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176" fontId="44" fillId="0" borderId="15" xfId="0" applyNumberFormat="1" applyFont="1" applyBorder="1" applyAlignment="1">
      <alignment horizontal="left" vertical="center"/>
    </xf>
    <xf numFmtId="40" fontId="44" fillId="0" borderId="24" xfId="1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right" vertical="center"/>
    </xf>
    <xf numFmtId="38" fontId="44" fillId="0" borderId="33" xfId="1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177" fontId="44" fillId="0" borderId="33" xfId="1" applyNumberFormat="1" applyFont="1" applyBorder="1" applyAlignment="1">
      <alignment horizontal="right" vertical="center"/>
    </xf>
    <xf numFmtId="38" fontId="44" fillId="0" borderId="35" xfId="1" applyFont="1" applyBorder="1" applyAlignment="1">
      <alignment horizontal="right" vertical="center"/>
    </xf>
    <xf numFmtId="0" fontId="44" fillId="0" borderId="21" xfId="0" applyFont="1" applyBorder="1" applyAlignment="1">
      <alignment horizontal="center" vertical="center"/>
    </xf>
    <xf numFmtId="0" fontId="44" fillId="0" borderId="60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38" fontId="44" fillId="0" borderId="24" xfId="1" applyFont="1" applyBorder="1" applyAlignment="1">
      <alignment horizontal="right" vertical="center"/>
    </xf>
    <xf numFmtId="40" fontId="44" fillId="0" borderId="9" xfId="0" applyNumberFormat="1" applyFont="1" applyBorder="1" applyAlignment="1">
      <alignment horizontal="center" vertical="center"/>
    </xf>
    <xf numFmtId="40" fontId="44" fillId="0" borderId="2" xfId="0" applyNumberFormat="1" applyFont="1" applyBorder="1" applyAlignment="1">
      <alignment horizontal="center" vertical="center"/>
    </xf>
    <xf numFmtId="0" fontId="44" fillId="9" borderId="33" xfId="0" applyFont="1" applyFill="1" applyBorder="1" applyAlignment="1">
      <alignment horizontal="center" vertical="center"/>
    </xf>
    <xf numFmtId="40" fontId="44" fillId="0" borderId="34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right" vertical="center"/>
    </xf>
    <xf numFmtId="38" fontId="44" fillId="0" borderId="22" xfId="1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0" fontId="44" fillId="4" borderId="26" xfId="0" applyFont="1" applyFill="1" applyBorder="1" applyAlignment="1">
      <alignment horizontal="center" vertical="center"/>
    </xf>
    <xf numFmtId="38" fontId="44" fillId="0" borderId="27" xfId="1" applyFont="1" applyBorder="1" applyAlignment="1">
      <alignment horizontal="right" vertical="center"/>
    </xf>
    <xf numFmtId="0" fontId="44" fillId="4" borderId="27" xfId="0" applyFont="1" applyFill="1" applyBorder="1" applyAlignment="1">
      <alignment horizontal="center" vertical="center"/>
    </xf>
    <xf numFmtId="38" fontId="44" fillId="4" borderId="27" xfId="1" applyFont="1" applyFill="1" applyBorder="1" applyAlignment="1">
      <alignment horizontal="center" vertical="center"/>
    </xf>
    <xf numFmtId="38" fontId="44" fillId="0" borderId="29" xfId="1" applyFont="1" applyBorder="1" applyAlignment="1">
      <alignment horizontal="right" vertical="center"/>
    </xf>
    <xf numFmtId="0" fontId="44" fillId="4" borderId="36" xfId="0" applyFont="1" applyFill="1" applyBorder="1" applyAlignment="1">
      <alignment horizontal="center" vertical="center"/>
    </xf>
    <xf numFmtId="0" fontId="44" fillId="4" borderId="51" xfId="0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horizontal="center" vertical="center"/>
    </xf>
    <xf numFmtId="0" fontId="44" fillId="4" borderId="41" xfId="0" applyFont="1" applyFill="1" applyBorder="1" applyAlignment="1">
      <alignment horizontal="center" vertical="center"/>
    </xf>
    <xf numFmtId="0" fontId="44" fillId="4" borderId="66" xfId="0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/>
    </xf>
    <xf numFmtId="0" fontId="44" fillId="4" borderId="43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" vertical="center"/>
    </xf>
    <xf numFmtId="0" fontId="44" fillId="4" borderId="44" xfId="0" applyFont="1" applyFill="1" applyBorder="1" applyAlignment="1">
      <alignment horizontal="center" vertical="center"/>
    </xf>
    <xf numFmtId="0" fontId="44" fillId="9" borderId="4" xfId="0" applyFont="1" applyFill="1" applyBorder="1" applyAlignment="1">
      <alignment horizontal="center" vertical="center" shrinkToFit="1"/>
    </xf>
    <xf numFmtId="0" fontId="44" fillId="9" borderId="1" xfId="0" applyFont="1" applyFill="1" applyBorder="1" applyAlignment="1">
      <alignment horizontal="center" vertical="center" shrinkToFit="1"/>
    </xf>
    <xf numFmtId="0" fontId="44" fillId="9" borderId="17" xfId="0" applyFont="1" applyFill="1" applyBorder="1" applyAlignment="1">
      <alignment horizontal="center" vertical="center" shrinkToFit="1"/>
    </xf>
    <xf numFmtId="0" fontId="44" fillId="9" borderId="46" xfId="0" applyFont="1" applyFill="1" applyBorder="1" applyAlignment="1">
      <alignment horizontal="center" vertical="center"/>
    </xf>
    <xf numFmtId="0" fontId="44" fillId="9" borderId="19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2" fontId="44" fillId="0" borderId="54" xfId="0" applyNumberFormat="1" applyFont="1" applyBorder="1" applyAlignment="1">
      <alignment horizontal="right" vertical="center"/>
    </xf>
    <xf numFmtId="38" fontId="44" fillId="0" borderId="19" xfId="1" applyFont="1" applyBorder="1" applyAlignment="1">
      <alignment horizontal="right" vertical="center"/>
    </xf>
    <xf numFmtId="2" fontId="44" fillId="0" borderId="19" xfId="0" applyNumberFormat="1" applyFont="1" applyBorder="1" applyAlignment="1">
      <alignment horizontal="right" vertical="center"/>
    </xf>
    <xf numFmtId="38" fontId="44" fillId="0" borderId="20" xfId="1" applyFont="1" applyBorder="1" applyAlignment="1">
      <alignment horizontal="right" vertical="center"/>
    </xf>
    <xf numFmtId="0" fontId="44" fillId="0" borderId="17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38" fontId="44" fillId="0" borderId="11" xfId="1" applyFont="1" applyBorder="1" applyAlignment="1">
      <alignment horizontal="right" vertical="center"/>
    </xf>
    <xf numFmtId="0" fontId="44" fillId="4" borderId="48" xfId="0" applyFont="1" applyFill="1" applyBorder="1" applyAlignment="1">
      <alignment horizontal="center" vertical="center"/>
    </xf>
    <xf numFmtId="0" fontId="44" fillId="4" borderId="49" xfId="0" applyFont="1" applyFill="1" applyBorder="1" applyAlignment="1">
      <alignment horizontal="center" vertical="center"/>
    </xf>
    <xf numFmtId="38" fontId="44" fillId="0" borderId="37" xfId="1" applyFont="1" applyBorder="1" applyAlignment="1">
      <alignment horizontal="right" vertical="center"/>
    </xf>
    <xf numFmtId="38" fontId="44" fillId="0" borderId="0" xfId="1" applyFont="1" applyFill="1" applyBorder="1" applyAlignment="1">
      <alignment horizontal="right" vertical="center"/>
    </xf>
    <xf numFmtId="0" fontId="44" fillId="9" borderId="32" xfId="0" applyFont="1" applyFill="1" applyBorder="1" applyAlignment="1">
      <alignment horizontal="center" vertical="center"/>
    </xf>
    <xf numFmtId="0" fontId="44" fillId="9" borderId="35" xfId="0" applyFont="1" applyFill="1" applyBorder="1" applyAlignment="1">
      <alignment horizontal="center" vertical="center"/>
    </xf>
    <xf numFmtId="40" fontId="44" fillId="0" borderId="28" xfId="0" applyNumberFormat="1" applyFont="1" applyBorder="1" applyAlignment="1">
      <alignment horizontal="center" vertical="center"/>
    </xf>
    <xf numFmtId="177" fontId="44" fillId="0" borderId="45" xfId="1" applyNumberFormat="1" applyFont="1" applyBorder="1" applyAlignment="1">
      <alignment horizontal="right" vertical="center"/>
    </xf>
    <xf numFmtId="0" fontId="44" fillId="0" borderId="36" xfId="0" applyFont="1" applyBorder="1" applyAlignment="1">
      <alignment horizontal="center" vertical="center"/>
    </xf>
    <xf numFmtId="176" fontId="44" fillId="0" borderId="51" xfId="0" applyNumberFormat="1" applyFont="1" applyBorder="1" applyAlignment="1">
      <alignment horizontal="center" vertical="center"/>
    </xf>
    <xf numFmtId="176" fontId="44" fillId="0" borderId="51" xfId="0" applyNumberFormat="1" applyFont="1" applyBorder="1" applyAlignment="1">
      <alignment horizontal="left" vertical="center"/>
    </xf>
    <xf numFmtId="40" fontId="44" fillId="0" borderId="13" xfId="0" applyNumberFormat="1" applyFont="1" applyBorder="1" applyAlignment="1">
      <alignment horizontal="center" vertical="center"/>
    </xf>
    <xf numFmtId="0" fontId="44" fillId="0" borderId="63" xfId="0" applyFont="1" applyBorder="1" applyAlignment="1">
      <alignment horizontal="left" vertical="center"/>
    </xf>
    <xf numFmtId="40" fontId="44" fillId="0" borderId="17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176" fontId="44" fillId="0" borderId="3" xfId="0" applyNumberFormat="1" applyFont="1" applyBorder="1" applyAlignment="1">
      <alignment horizontal="left" vertical="center"/>
    </xf>
    <xf numFmtId="40" fontId="44" fillId="0" borderId="24" xfId="0" applyNumberFormat="1" applyFont="1" applyBorder="1" applyAlignment="1">
      <alignment horizontal="center" vertical="center"/>
    </xf>
    <xf numFmtId="0" fontId="44" fillId="0" borderId="65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2" fontId="44" fillId="0" borderId="4" xfId="0" applyNumberFormat="1" applyFont="1" applyBorder="1" applyAlignment="1">
      <alignment horizontal="right" vertical="center"/>
    </xf>
    <xf numFmtId="2" fontId="44" fillId="0" borderId="1" xfId="0" applyNumberFormat="1" applyFont="1" applyBorder="1" applyAlignment="1">
      <alignment horizontal="right" vertical="center"/>
    </xf>
    <xf numFmtId="2" fontId="44" fillId="0" borderId="46" xfId="0" applyNumberFormat="1" applyFont="1" applyBorder="1" applyAlignment="1">
      <alignment horizontal="right" vertical="center"/>
    </xf>
    <xf numFmtId="38" fontId="44" fillId="0" borderId="0" xfId="0" applyNumberFormat="1" applyFont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38" fontId="44" fillId="0" borderId="19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38" fontId="44" fillId="0" borderId="0" xfId="0" applyNumberFormat="1" applyFont="1" applyBorder="1" applyAlignment="1">
      <alignment horizontal="right" vertical="center"/>
    </xf>
    <xf numFmtId="38" fontId="44" fillId="0" borderId="9" xfId="1" applyFont="1" applyBorder="1" applyAlignment="1">
      <alignment horizontal="right" vertical="center"/>
    </xf>
    <xf numFmtId="0" fontId="44" fillId="0" borderId="76" xfId="0" applyFont="1" applyBorder="1" applyAlignment="1">
      <alignment horizontal="left" vertical="center"/>
    </xf>
    <xf numFmtId="0" fontId="44" fillId="0" borderId="0" xfId="0" applyNumberFormat="1" applyFont="1" applyBorder="1" applyAlignment="1">
      <alignment horizontal="left" vertical="center"/>
    </xf>
    <xf numFmtId="38" fontId="44" fillId="0" borderId="23" xfId="1" applyFont="1" applyBorder="1" applyAlignment="1">
      <alignment horizontal="right" vertical="center"/>
    </xf>
    <xf numFmtId="0" fontId="44" fillId="0" borderId="61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41" fillId="9" borderId="1" xfId="0" applyFont="1" applyFill="1" applyBorder="1" applyAlignment="1">
      <alignment vertical="center" shrinkToFit="1"/>
    </xf>
    <xf numFmtId="0" fontId="41" fillId="9" borderId="1" xfId="0" applyFont="1" applyFill="1" applyBorder="1" applyAlignment="1">
      <alignment horizontal="center" vertical="center" shrinkToFit="1"/>
    </xf>
    <xf numFmtId="0" fontId="41" fillId="9" borderId="2" xfId="0" applyFont="1" applyFill="1" applyBorder="1" applyAlignment="1">
      <alignment horizontal="center" vertical="center" shrinkToFit="1"/>
    </xf>
    <xf numFmtId="0" fontId="41" fillId="9" borderId="34" xfId="0" applyFont="1" applyFill="1" applyBorder="1" applyAlignment="1">
      <alignment horizontal="center" vertical="center" shrinkToFit="1"/>
    </xf>
    <xf numFmtId="0" fontId="41" fillId="9" borderId="64" xfId="0" applyFont="1" applyFill="1" applyBorder="1" applyAlignment="1">
      <alignment horizontal="center" vertical="center" shrinkToFit="1"/>
    </xf>
    <xf numFmtId="0" fontId="41" fillId="9" borderId="87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38" fontId="44" fillId="0" borderId="19" xfId="0" applyNumberFormat="1" applyFont="1" applyBorder="1" applyAlignment="1">
      <alignment horizontal="right" vertical="center"/>
    </xf>
    <xf numFmtId="0" fontId="44" fillId="0" borderId="3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8" fontId="44" fillId="0" borderId="0" xfId="1" applyFont="1" applyBorder="1" applyAlignment="1">
      <alignment horizontal="right" vertical="center"/>
    </xf>
    <xf numFmtId="38" fontId="44" fillId="10" borderId="1" xfId="1" applyFont="1" applyFill="1" applyBorder="1" applyAlignment="1">
      <alignment vertical="center"/>
    </xf>
    <xf numFmtId="177" fontId="44" fillId="10" borderId="1" xfId="0" applyNumberFormat="1" applyFont="1" applyFill="1" applyBorder="1" applyAlignment="1">
      <alignment vertical="center"/>
    </xf>
    <xf numFmtId="0" fontId="44" fillId="10" borderId="70" xfId="0" applyFont="1" applyFill="1" applyBorder="1" applyAlignment="1">
      <alignment vertical="center"/>
    </xf>
    <xf numFmtId="0" fontId="44" fillId="10" borderId="55" xfId="0" applyFont="1" applyFill="1" applyBorder="1" applyAlignment="1">
      <alignment vertical="center"/>
    </xf>
    <xf numFmtId="0" fontId="44" fillId="10" borderId="5" xfId="0" applyFont="1" applyFill="1" applyBorder="1" applyAlignment="1">
      <alignment vertical="center"/>
    </xf>
    <xf numFmtId="38" fontId="44" fillId="10" borderId="0" xfId="0" applyNumberFormat="1" applyFont="1" applyFill="1" applyBorder="1" applyAlignment="1">
      <alignment vertical="center"/>
    </xf>
    <xf numFmtId="38" fontId="44" fillId="10" borderId="0" xfId="1" applyFont="1" applyFill="1" applyBorder="1" applyAlignment="1">
      <alignment vertical="center"/>
    </xf>
    <xf numFmtId="0" fontId="44" fillId="0" borderId="5" xfId="0" applyFont="1" applyBorder="1" applyAlignment="1">
      <alignment vertical="center"/>
    </xf>
    <xf numFmtId="38" fontId="44" fillId="0" borderId="55" xfId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7" borderId="50" xfId="0" applyFont="1" applyFill="1" applyBorder="1" applyAlignment="1">
      <alignment horizontal="center" vertical="center"/>
    </xf>
    <xf numFmtId="0" fontId="44" fillId="7" borderId="51" xfId="0" applyFont="1" applyFill="1" applyBorder="1" applyAlignment="1">
      <alignment horizontal="center" vertical="center"/>
    </xf>
    <xf numFmtId="0" fontId="44" fillId="7" borderId="59" xfId="0" applyFont="1" applyFill="1" applyBorder="1" applyAlignment="1">
      <alignment horizontal="center" vertical="center"/>
    </xf>
    <xf numFmtId="0" fontId="79" fillId="7" borderId="0" xfId="0" applyFont="1" applyFill="1" applyAlignment="1">
      <alignment horizontal="left" vertical="center"/>
    </xf>
    <xf numFmtId="0" fontId="44" fillId="16" borderId="50" xfId="0" applyFont="1" applyFill="1" applyBorder="1" applyAlignment="1">
      <alignment horizontal="center" vertical="center"/>
    </xf>
    <xf numFmtId="0" fontId="44" fillId="16" borderId="51" xfId="0" applyFont="1" applyFill="1" applyBorder="1" applyAlignment="1">
      <alignment horizontal="center" vertical="center"/>
    </xf>
    <xf numFmtId="0" fontId="44" fillId="16" borderId="59" xfId="0" applyFont="1" applyFill="1" applyBorder="1" applyAlignment="1">
      <alignment horizontal="center" vertical="center"/>
    </xf>
    <xf numFmtId="0" fontId="79" fillId="16" borderId="0" xfId="0" applyFont="1" applyFill="1" applyAlignment="1">
      <alignment horizontal="left" vertical="center"/>
    </xf>
    <xf numFmtId="0" fontId="79" fillId="5" borderId="0" xfId="0" applyFont="1" applyFill="1" applyAlignment="1">
      <alignment horizontal="left" vertical="center"/>
    </xf>
    <xf numFmtId="0" fontId="44" fillId="5" borderId="50" xfId="0" applyFont="1" applyFill="1" applyBorder="1" applyAlignment="1">
      <alignment horizontal="center" vertical="center"/>
    </xf>
    <xf numFmtId="0" fontId="44" fillId="5" borderId="51" xfId="0" applyFont="1" applyFill="1" applyBorder="1" applyAlignment="1">
      <alignment horizontal="center" vertical="center"/>
    </xf>
    <xf numFmtId="0" fontId="44" fillId="5" borderId="59" xfId="0" applyFont="1" applyFill="1" applyBorder="1" applyAlignment="1">
      <alignment horizontal="center" vertical="center"/>
    </xf>
    <xf numFmtId="0" fontId="5" fillId="0" borderId="0" xfId="2" applyFont="1" applyProtection="1">
      <alignment vertical="center"/>
      <protection locked="0"/>
    </xf>
    <xf numFmtId="0" fontId="9" fillId="0" borderId="0" xfId="2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hidden="1"/>
    </xf>
    <xf numFmtId="0" fontId="9" fillId="0" borderId="0" xfId="2" applyProtection="1">
      <alignment vertical="center"/>
      <protection hidden="1"/>
    </xf>
    <xf numFmtId="0" fontId="9" fillId="0" borderId="0" xfId="2" applyBorder="1" applyProtection="1">
      <alignment vertical="center"/>
      <protection hidden="1"/>
    </xf>
    <xf numFmtId="0" fontId="9" fillId="0" borderId="0" xfId="2" applyBorder="1" applyAlignment="1" applyProtection="1">
      <alignment vertical="center" shrinkToFit="1"/>
      <protection hidden="1"/>
    </xf>
    <xf numFmtId="0" fontId="9" fillId="0" borderId="0" xfId="2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 shrinkToFit="1"/>
      <protection hidden="1"/>
    </xf>
    <xf numFmtId="0" fontId="44" fillId="0" borderId="64" xfId="0" applyFont="1" applyBorder="1" applyAlignment="1">
      <alignment vertical="center"/>
    </xf>
    <xf numFmtId="38" fontId="44" fillId="0" borderId="34" xfId="1" applyFont="1" applyBorder="1" applyAlignment="1">
      <alignment horizontal="right" vertical="center"/>
    </xf>
    <xf numFmtId="0" fontId="44" fillId="0" borderId="2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177" fontId="44" fillId="0" borderId="2" xfId="1" applyNumberFormat="1" applyFont="1" applyBorder="1" applyAlignment="1">
      <alignment horizontal="right" vertical="center"/>
    </xf>
    <xf numFmtId="0" fontId="74" fillId="0" borderId="1" xfId="0" applyFont="1" applyBorder="1" applyAlignment="1">
      <alignment horizontal="center" vertical="center" shrinkToFit="1"/>
    </xf>
    <xf numFmtId="0" fontId="9" fillId="0" borderId="0" xfId="2" applyBorder="1" applyAlignment="1" applyProtection="1">
      <alignment horizontal="right" vertical="center"/>
      <protection hidden="1"/>
    </xf>
    <xf numFmtId="0" fontId="5" fillId="0" borderId="0" xfId="2" applyFont="1" applyAlignment="1" applyProtection="1">
      <alignment horizontal="right" vertical="center"/>
      <protection hidden="1"/>
    </xf>
    <xf numFmtId="0" fontId="9" fillId="0" borderId="0" xfId="2" applyAlignment="1" applyProtection="1">
      <alignment horizontal="right" vertical="center"/>
      <protection hidden="1"/>
    </xf>
    <xf numFmtId="0" fontId="9" fillId="0" borderId="1" xfId="2" applyBorder="1" applyProtection="1">
      <alignment vertical="center"/>
      <protection hidden="1"/>
    </xf>
    <xf numFmtId="6" fontId="9" fillId="0" borderId="0" xfId="9" applyFont="1" applyBorder="1" applyProtection="1">
      <alignment vertical="center"/>
      <protection hidden="1"/>
    </xf>
    <xf numFmtId="6" fontId="9" fillId="0" borderId="0" xfId="9" applyFont="1" applyProtection="1">
      <alignment vertical="center"/>
      <protection hidden="1"/>
    </xf>
    <xf numFmtId="0" fontId="14" fillId="0" borderId="0" xfId="2" applyFont="1" applyProtection="1">
      <alignment vertical="center"/>
    </xf>
    <xf numFmtId="0" fontId="6" fillId="3" borderId="0" xfId="2" applyFont="1" applyFill="1" applyAlignment="1" applyProtection="1">
      <alignment horizontal="center" vertical="center" shrinkToFit="1"/>
    </xf>
    <xf numFmtId="0" fontId="9" fillId="0" borderId="0" xfId="2" applyFont="1" applyAlignment="1" applyProtection="1">
      <alignment vertical="center" shrinkToFit="1"/>
    </xf>
    <xf numFmtId="0" fontId="6" fillId="0" borderId="0" xfId="2" applyFont="1" applyProtection="1">
      <alignment vertical="center"/>
    </xf>
    <xf numFmtId="0" fontId="9" fillId="0" borderId="0" xfId="2" applyProtection="1">
      <alignment vertical="center"/>
    </xf>
    <xf numFmtId="0" fontId="9" fillId="0" borderId="0" xfId="2" applyBorder="1" applyProtection="1">
      <alignment vertical="center"/>
    </xf>
    <xf numFmtId="0" fontId="25" fillId="0" borderId="0" xfId="2" applyFont="1" applyBorder="1" applyAlignment="1" applyProtection="1">
      <alignment vertical="center" wrapText="1"/>
    </xf>
    <xf numFmtId="0" fontId="3" fillId="0" borderId="0" xfId="2" applyFont="1" applyBorder="1" applyAlignment="1" applyProtection="1">
      <alignment vertical="center" wrapText="1"/>
    </xf>
    <xf numFmtId="0" fontId="5" fillId="0" borderId="3" xfId="2" applyFont="1" applyBorder="1" applyAlignment="1" applyProtection="1">
      <alignment horizontal="center" vertical="center" shrinkToFit="1"/>
    </xf>
    <xf numFmtId="0" fontId="3" fillId="0" borderId="64" xfId="2" applyFont="1" applyBorder="1" applyAlignment="1" applyProtection="1">
      <alignment horizontal="right" vertical="center" wrapText="1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 vertical="center"/>
    </xf>
    <xf numFmtId="0" fontId="9" fillId="0" borderId="0" xfId="2" applyBorder="1" applyAlignment="1" applyProtection="1">
      <alignment horizontal="left" vertical="center" wrapText="1"/>
    </xf>
    <xf numFmtId="0" fontId="62" fillId="0" borderId="0" xfId="0" applyFont="1" applyAlignment="1" applyProtection="1">
      <alignment vertical="center"/>
    </xf>
    <xf numFmtId="0" fontId="63" fillId="0" borderId="0" xfId="0" applyFont="1" applyAlignment="1" applyProtection="1">
      <alignment horizontal="justify" vertical="center"/>
    </xf>
    <xf numFmtId="0" fontId="44" fillId="11" borderId="72" xfId="0" applyFont="1" applyFill="1" applyBorder="1" applyAlignment="1" applyProtection="1">
      <alignment horizontal="right" vertical="center"/>
      <protection locked="0"/>
    </xf>
    <xf numFmtId="40" fontId="44" fillId="11" borderId="72" xfId="0" applyNumberFormat="1" applyFont="1" applyFill="1" applyBorder="1" applyAlignment="1" applyProtection="1">
      <alignment horizontal="right" vertical="center"/>
      <protection locked="0"/>
    </xf>
    <xf numFmtId="0" fontId="34" fillId="12" borderId="0" xfId="10" applyFont="1" applyFill="1" applyProtection="1">
      <alignment vertical="center"/>
      <protection hidden="1"/>
    </xf>
    <xf numFmtId="0" fontId="35" fillId="12" borderId="0" xfId="10" applyFont="1" applyFill="1" applyProtection="1">
      <alignment vertical="center"/>
      <protection hidden="1"/>
    </xf>
    <xf numFmtId="14" fontId="35" fillId="12" borderId="0" xfId="10" applyNumberFormat="1" applyFont="1" applyFill="1" applyProtection="1">
      <alignment vertical="center"/>
      <protection hidden="1"/>
    </xf>
    <xf numFmtId="190" fontId="84" fillId="12" borderId="0" xfId="10" applyNumberFormat="1" applyFont="1" applyFill="1" applyProtection="1">
      <alignment vertical="center"/>
      <protection hidden="1"/>
    </xf>
    <xf numFmtId="190" fontId="35" fillId="12" borderId="0" xfId="10" applyNumberFormat="1" applyFont="1" applyFill="1" applyProtection="1">
      <alignment vertical="center"/>
      <protection hidden="1"/>
    </xf>
    <xf numFmtId="191" fontId="35" fillId="12" borderId="0" xfId="10" applyNumberFormat="1" applyFont="1" applyFill="1" applyProtection="1">
      <alignment vertical="center"/>
      <protection hidden="1"/>
    </xf>
    <xf numFmtId="0" fontId="35" fillId="12" borderId="6" xfId="10" applyNumberFormat="1" applyFont="1" applyFill="1" applyBorder="1" applyAlignment="1" applyProtection="1">
      <alignment horizontal="right" vertical="center"/>
      <protection hidden="1"/>
    </xf>
    <xf numFmtId="0" fontId="33" fillId="0" borderId="0" xfId="10" applyProtection="1">
      <alignment vertical="center"/>
      <protection hidden="1"/>
    </xf>
    <xf numFmtId="0" fontId="35" fillId="12" borderId="10" xfId="10" applyFont="1" applyFill="1" applyBorder="1" applyProtection="1">
      <alignment vertical="center"/>
      <protection hidden="1"/>
    </xf>
    <xf numFmtId="0" fontId="35" fillId="12" borderId="45" xfId="10" applyFont="1" applyFill="1" applyBorder="1" applyProtection="1">
      <alignment vertical="center"/>
      <protection hidden="1"/>
    </xf>
    <xf numFmtId="0" fontId="37" fillId="12" borderId="103" xfId="6" applyFont="1" applyFill="1" applyBorder="1" applyAlignment="1" applyProtection="1">
      <alignment horizontal="center" vertical="center"/>
      <protection hidden="1"/>
    </xf>
    <xf numFmtId="0" fontId="37" fillId="12" borderId="105" xfId="6" applyFont="1" applyFill="1" applyBorder="1" applyAlignment="1" applyProtection="1">
      <alignment horizontal="center" vertical="center"/>
      <protection hidden="1"/>
    </xf>
    <xf numFmtId="0" fontId="37" fillId="3" borderId="109" xfId="6" applyFont="1" applyFill="1" applyBorder="1" applyAlignment="1" applyProtection="1">
      <alignment horizontal="center" vertical="center"/>
      <protection hidden="1"/>
    </xf>
    <xf numFmtId="0" fontId="37" fillId="3" borderId="103" xfId="6" applyFont="1" applyFill="1" applyBorder="1" applyAlignment="1" applyProtection="1">
      <alignment horizontal="center" vertical="center"/>
      <protection hidden="1"/>
    </xf>
    <xf numFmtId="0" fontId="37" fillId="3" borderId="110" xfId="6" applyFont="1" applyFill="1" applyBorder="1" applyAlignment="1" applyProtection="1">
      <alignment horizontal="center" vertical="center"/>
      <protection hidden="1"/>
    </xf>
    <xf numFmtId="0" fontId="37" fillId="12" borderId="93" xfId="6" applyFont="1" applyFill="1" applyBorder="1" applyAlignment="1" applyProtection="1">
      <alignment horizontal="center" vertical="center" shrinkToFit="1"/>
      <protection hidden="1"/>
    </xf>
    <xf numFmtId="0" fontId="37" fillId="12" borderId="93" xfId="6" applyFont="1" applyFill="1" applyBorder="1" applyAlignment="1" applyProtection="1">
      <alignment horizontal="center" vertical="center" wrapText="1"/>
      <protection hidden="1"/>
    </xf>
    <xf numFmtId="0" fontId="37" fillId="12" borderId="100" xfId="6" applyFont="1" applyFill="1" applyBorder="1" applyAlignment="1" applyProtection="1">
      <alignment horizontal="center" vertical="center" wrapText="1"/>
      <protection hidden="1"/>
    </xf>
    <xf numFmtId="0" fontId="37" fillId="12" borderId="69" xfId="6" applyFont="1" applyFill="1" applyBorder="1" applyAlignment="1" applyProtection="1">
      <alignment horizontal="center" vertical="center" wrapText="1"/>
      <protection hidden="1"/>
    </xf>
    <xf numFmtId="0" fontId="37" fillId="12" borderId="20" xfId="6" applyFont="1" applyFill="1" applyBorder="1" applyAlignment="1" applyProtection="1">
      <alignment horizontal="center" vertical="center" wrapText="1"/>
      <protection hidden="1"/>
    </xf>
    <xf numFmtId="0" fontId="35" fillId="12" borderId="26" xfId="10" applyFont="1" applyFill="1" applyBorder="1" applyProtection="1">
      <alignment vertical="center"/>
      <protection hidden="1"/>
    </xf>
    <xf numFmtId="0" fontId="37" fillId="12" borderId="23" xfId="6" applyFont="1" applyFill="1" applyBorder="1" applyAlignment="1" applyProtection="1">
      <alignment horizontal="center" vertical="center" wrapText="1"/>
      <protection hidden="1"/>
    </xf>
    <xf numFmtId="0" fontId="37" fillId="12" borderId="46" xfId="6" applyFont="1" applyFill="1" applyBorder="1" applyAlignment="1" applyProtection="1">
      <alignment horizontal="center" vertical="center" wrapText="1"/>
      <protection hidden="1"/>
    </xf>
    <xf numFmtId="0" fontId="37" fillId="12" borderId="22" xfId="6" applyFont="1" applyFill="1" applyBorder="1" applyAlignment="1" applyProtection="1">
      <alignment horizontal="center" vertical="center" wrapText="1"/>
      <protection hidden="1"/>
    </xf>
    <xf numFmtId="0" fontId="37" fillId="12" borderId="31" xfId="6" applyFont="1" applyFill="1" applyBorder="1" applyAlignment="1" applyProtection="1">
      <alignment horizontal="center" vertical="center" wrapText="1"/>
      <protection hidden="1"/>
    </xf>
    <xf numFmtId="0" fontId="37" fillId="12" borderId="24" xfId="6" applyFont="1" applyFill="1" applyBorder="1" applyAlignment="1" applyProtection="1">
      <alignment horizontal="center" vertical="center" wrapText="1"/>
      <protection hidden="1"/>
    </xf>
    <xf numFmtId="0" fontId="37" fillId="12" borderId="9" xfId="6" applyFont="1" applyFill="1" applyBorder="1" applyAlignment="1" applyProtection="1">
      <alignment horizontal="distributed" vertical="center" justifyLastLine="1"/>
      <protection hidden="1"/>
    </xf>
    <xf numFmtId="0" fontId="37" fillId="12" borderId="9" xfId="6" applyFont="1" applyFill="1" applyBorder="1" applyAlignment="1" applyProtection="1">
      <alignment horizontal="center" vertical="center"/>
      <protection hidden="1"/>
    </xf>
    <xf numFmtId="192" fontId="37" fillId="0" borderId="112" xfId="11" applyNumberFormat="1" applyFont="1" applyFill="1" applyBorder="1" applyAlignment="1" applyProtection="1">
      <alignment horizontal="center" vertical="center" shrinkToFit="1"/>
      <protection locked="0"/>
    </xf>
    <xf numFmtId="0" fontId="37" fillId="0" borderId="113" xfId="6" applyFont="1" applyFill="1" applyBorder="1" applyAlignment="1" applyProtection="1">
      <alignment horizontal="center" vertical="center" shrinkToFit="1"/>
      <protection locked="0"/>
    </xf>
    <xf numFmtId="0" fontId="37" fillId="0" borderId="114" xfId="6" applyFont="1" applyFill="1" applyBorder="1" applyAlignment="1" applyProtection="1">
      <alignment horizontal="center" vertical="center" shrinkToFit="1"/>
      <protection locked="0"/>
    </xf>
    <xf numFmtId="0" fontId="37" fillId="12" borderId="63" xfId="6" applyFont="1" applyFill="1" applyBorder="1" applyAlignment="1" applyProtection="1">
      <alignment horizontal="center" vertical="center" wrapText="1"/>
      <protection hidden="1"/>
    </xf>
    <xf numFmtId="0" fontId="37" fillId="12" borderId="40" xfId="6" applyFont="1" applyFill="1" applyBorder="1" applyAlignment="1" applyProtection="1">
      <alignment horizontal="center" vertical="center" wrapText="1"/>
      <protection hidden="1"/>
    </xf>
    <xf numFmtId="192" fontId="37" fillId="12" borderId="8" xfId="6" applyNumberFormat="1" applyFont="1" applyFill="1" applyBorder="1" applyAlignment="1" applyProtection="1">
      <alignment horizontal="center" vertical="center" wrapText="1"/>
      <protection hidden="1"/>
    </xf>
    <xf numFmtId="0" fontId="37" fillId="12" borderId="11" xfId="6" applyFont="1" applyFill="1" applyBorder="1" applyAlignment="1" applyProtection="1">
      <alignment vertical="center" textRotation="90" wrapText="1"/>
      <protection hidden="1"/>
    </xf>
    <xf numFmtId="193" fontId="37" fillId="12" borderId="9" xfId="6" applyNumberFormat="1" applyFont="1" applyFill="1" applyBorder="1" applyAlignment="1" applyProtection="1">
      <alignment horizontal="center" vertical="center" wrapText="1"/>
      <protection hidden="1"/>
    </xf>
    <xf numFmtId="192" fontId="37" fillId="12" borderId="25" xfId="6" applyNumberFormat="1" applyFont="1" applyFill="1" applyBorder="1" applyAlignment="1" applyProtection="1">
      <alignment horizontal="center" vertical="center" shrinkToFit="1"/>
      <protection hidden="1"/>
    </xf>
    <xf numFmtId="192" fontId="37" fillId="12" borderId="13" xfId="6" applyNumberFormat="1" applyFont="1" applyFill="1" applyBorder="1" applyAlignment="1" applyProtection="1">
      <alignment horizontal="center" vertical="center" shrinkToFit="1"/>
      <protection hidden="1"/>
    </xf>
    <xf numFmtId="0" fontId="37" fillId="12" borderId="2" xfId="6" applyFont="1" applyFill="1" applyBorder="1" applyAlignment="1" applyProtection="1">
      <alignment horizontal="distributed" vertical="center" justifyLastLine="1"/>
      <protection hidden="1"/>
    </xf>
    <xf numFmtId="0" fontId="37" fillId="12" borderId="2" xfId="6" applyFont="1" applyFill="1" applyBorder="1" applyAlignment="1" applyProtection="1">
      <alignment horizontal="center" vertical="center"/>
      <protection hidden="1"/>
    </xf>
    <xf numFmtId="192" fontId="37" fillId="0" borderId="115" xfId="11" applyNumberFormat="1" applyFont="1" applyFill="1" applyBorder="1" applyAlignment="1" applyProtection="1">
      <alignment horizontal="center" vertical="center" shrinkToFit="1"/>
      <protection locked="0"/>
    </xf>
    <xf numFmtId="0" fontId="37" fillId="0" borderId="116" xfId="6" applyFont="1" applyFill="1" applyBorder="1" applyAlignment="1" applyProtection="1">
      <alignment horizontal="center" vertical="center" shrinkToFit="1"/>
      <protection locked="0"/>
    </xf>
    <xf numFmtId="0" fontId="37" fillId="0" borderId="117" xfId="6" applyFont="1" applyFill="1" applyBorder="1" applyAlignment="1" applyProtection="1">
      <alignment horizontal="center" vertical="center" shrinkToFit="1"/>
      <protection locked="0"/>
    </xf>
    <xf numFmtId="0" fontId="37" fillId="12" borderId="3" xfId="6" applyFont="1" applyFill="1" applyBorder="1" applyAlignment="1" applyProtection="1">
      <alignment horizontal="center" vertical="center" wrapText="1"/>
      <protection hidden="1"/>
    </xf>
    <xf numFmtId="0" fontId="37" fillId="12" borderId="4" xfId="6" applyFont="1" applyFill="1" applyBorder="1" applyAlignment="1" applyProtection="1">
      <alignment horizontal="center" vertical="center" wrapText="1"/>
      <protection hidden="1"/>
    </xf>
    <xf numFmtId="192" fontId="37" fillId="12" borderId="1" xfId="6" applyNumberFormat="1" applyFont="1" applyFill="1" applyBorder="1" applyAlignment="1" applyProtection="1">
      <alignment horizontal="center" vertical="center" wrapText="1"/>
      <protection hidden="1"/>
    </xf>
    <xf numFmtId="0" fontId="37" fillId="12" borderId="57" xfId="6" applyFont="1" applyFill="1" applyBorder="1" applyAlignment="1" applyProtection="1">
      <alignment vertical="center" textRotation="90" wrapText="1"/>
      <protection hidden="1"/>
    </xf>
    <xf numFmtId="193" fontId="37" fillId="12" borderId="2" xfId="6" applyNumberFormat="1" applyFont="1" applyFill="1" applyBorder="1" applyAlignment="1" applyProtection="1">
      <alignment horizontal="center" vertical="center" wrapText="1"/>
      <protection hidden="1"/>
    </xf>
    <xf numFmtId="192" fontId="37" fillId="12" borderId="69" xfId="6" applyNumberFormat="1" applyFont="1" applyFill="1" applyBorder="1" applyAlignment="1" applyProtection="1">
      <alignment horizontal="center" vertical="center" shrinkToFit="1"/>
      <protection hidden="1"/>
    </xf>
    <xf numFmtId="192" fontId="37" fillId="12" borderId="20" xfId="6" applyNumberFormat="1" applyFont="1" applyFill="1" applyBorder="1" applyAlignment="1" applyProtection="1">
      <alignment horizontal="center" vertical="center" shrinkToFit="1"/>
      <protection hidden="1"/>
    </xf>
    <xf numFmtId="0" fontId="37" fillId="12" borderId="118" xfId="6" applyFont="1" applyFill="1" applyBorder="1" applyAlignment="1" applyProtection="1">
      <alignment horizontal="distributed" vertical="center" justifyLastLine="1"/>
      <protection hidden="1"/>
    </xf>
    <xf numFmtId="0" fontId="39" fillId="12" borderId="118" xfId="6" applyFont="1" applyFill="1" applyBorder="1" applyAlignment="1" applyProtection="1">
      <alignment horizontal="center" vertical="center"/>
      <protection hidden="1"/>
    </xf>
    <xf numFmtId="192" fontId="37" fillId="0" borderId="119" xfId="11" applyNumberFormat="1" applyFont="1" applyFill="1" applyBorder="1" applyAlignment="1" applyProtection="1">
      <alignment horizontal="center" vertical="center" shrinkToFit="1"/>
      <protection locked="0"/>
    </xf>
    <xf numFmtId="0" fontId="39" fillId="0" borderId="120" xfId="6" applyFont="1" applyFill="1" applyBorder="1" applyAlignment="1" applyProtection="1">
      <alignment horizontal="center" vertical="center" shrinkToFit="1"/>
      <protection locked="0"/>
    </xf>
    <xf numFmtId="0" fontId="39" fillId="0" borderId="121" xfId="6" applyFont="1" applyFill="1" applyBorder="1" applyAlignment="1" applyProtection="1">
      <alignment horizontal="center" vertical="center" shrinkToFit="1"/>
      <protection locked="0"/>
    </xf>
    <xf numFmtId="0" fontId="37" fillId="12" borderId="122" xfId="6" applyFont="1" applyFill="1" applyBorder="1" applyAlignment="1" applyProtection="1">
      <alignment horizontal="center" vertical="center" wrapText="1"/>
      <protection hidden="1"/>
    </xf>
    <xf numFmtId="0" fontId="39" fillId="12" borderId="123" xfId="6" applyFont="1" applyFill="1" applyBorder="1" applyAlignment="1" applyProtection="1">
      <alignment horizontal="center" vertical="center" wrapText="1"/>
      <protection hidden="1"/>
    </xf>
    <xf numFmtId="192" fontId="37" fillId="12" borderId="124" xfId="6" applyNumberFormat="1" applyFont="1" applyFill="1" applyBorder="1" applyAlignment="1" applyProtection="1">
      <alignment horizontal="center" vertical="center" shrinkToFit="1"/>
      <protection hidden="1"/>
    </xf>
    <xf numFmtId="192" fontId="37" fillId="12" borderId="125" xfId="6" applyNumberFormat="1" applyFont="1" applyFill="1" applyBorder="1" applyAlignment="1" applyProtection="1">
      <alignment horizontal="center" vertical="center" shrinkToFit="1"/>
      <protection hidden="1"/>
    </xf>
    <xf numFmtId="0" fontId="35" fillId="12" borderId="26" xfId="10" applyFont="1" applyFill="1" applyBorder="1" applyAlignment="1" applyProtection="1">
      <alignment vertical="center" wrapText="1"/>
      <protection hidden="1"/>
    </xf>
    <xf numFmtId="192" fontId="37" fillId="12" borderId="28" xfId="6" applyNumberFormat="1" applyFont="1" applyFill="1" applyBorder="1" applyAlignment="1" applyProtection="1">
      <alignment horizontal="center" vertical="center"/>
      <protection hidden="1"/>
    </xf>
    <xf numFmtId="195" fontId="37" fillId="12" borderId="131" xfId="6" applyNumberFormat="1" applyFont="1" applyFill="1" applyBorder="1" applyAlignment="1" applyProtection="1">
      <alignment horizontal="center" vertical="center" wrapText="1"/>
      <protection hidden="1"/>
    </xf>
    <xf numFmtId="192" fontId="35" fillId="12" borderId="132" xfId="10" applyNumberFormat="1" applyFont="1" applyFill="1" applyBorder="1" applyAlignment="1" applyProtection="1">
      <alignment horizontal="center" vertical="center" shrinkToFit="1"/>
      <protection hidden="1"/>
    </xf>
    <xf numFmtId="192" fontId="35" fillId="12" borderId="29" xfId="10" applyNumberFormat="1" applyFont="1" applyFill="1" applyBorder="1" applyAlignment="1" applyProtection="1">
      <alignment horizontal="center" vertical="center" shrinkToFit="1"/>
      <protection hidden="1"/>
    </xf>
    <xf numFmtId="0" fontId="37" fillId="12" borderId="57" xfId="6" applyFont="1" applyFill="1" applyBorder="1" applyAlignment="1" applyProtection="1">
      <alignment vertical="center" textRotation="255"/>
      <protection hidden="1"/>
    </xf>
    <xf numFmtId="0" fontId="37" fillId="12" borderId="70" xfId="6" applyFont="1" applyFill="1" applyBorder="1" applyAlignment="1" applyProtection="1">
      <alignment horizontal="distributed" vertical="center" indent="1"/>
      <protection hidden="1"/>
    </xf>
    <xf numFmtId="0" fontId="37" fillId="12" borderId="70" xfId="6" applyFont="1" applyFill="1" applyBorder="1" applyAlignment="1" applyProtection="1">
      <alignment horizontal="center" vertical="center"/>
      <protection hidden="1"/>
    </xf>
    <xf numFmtId="194" fontId="37" fillId="12" borderId="133" xfId="11" applyNumberFormat="1" applyFont="1" applyFill="1" applyBorder="1" applyAlignment="1" applyProtection="1">
      <alignment horizontal="center" vertical="center"/>
      <protection hidden="1"/>
    </xf>
    <xf numFmtId="0" fontId="37" fillId="12" borderId="0" xfId="6" applyFont="1" applyFill="1" applyBorder="1" applyAlignment="1" applyProtection="1">
      <alignment horizontal="center" vertical="center"/>
      <protection hidden="1"/>
    </xf>
    <xf numFmtId="0" fontId="37" fillId="12" borderId="134" xfId="6" applyFont="1" applyFill="1" applyBorder="1" applyAlignment="1" applyProtection="1">
      <alignment horizontal="center" vertical="center"/>
      <protection hidden="1"/>
    </xf>
    <xf numFmtId="0" fontId="37" fillId="12" borderId="62" xfId="6" applyFont="1" applyFill="1" applyBorder="1" applyAlignment="1" applyProtection="1">
      <alignment horizontal="center" vertical="center"/>
      <protection hidden="1"/>
    </xf>
    <xf numFmtId="4" fontId="37" fillId="12" borderId="70" xfId="6" applyNumberFormat="1" applyFont="1" applyFill="1" applyBorder="1" applyAlignment="1" applyProtection="1">
      <alignment horizontal="center" vertical="center"/>
      <protection hidden="1"/>
    </xf>
    <xf numFmtId="195" fontId="37" fillId="12" borderId="70" xfId="6" applyNumberFormat="1" applyFont="1" applyFill="1" applyBorder="1" applyAlignment="1" applyProtection="1">
      <alignment horizontal="center" vertical="center" wrapText="1"/>
      <protection hidden="1"/>
    </xf>
    <xf numFmtId="192" fontId="35" fillId="12" borderId="135" xfId="10" applyNumberFormat="1" applyFont="1" applyFill="1" applyBorder="1" applyAlignment="1" applyProtection="1">
      <alignment horizontal="center" vertical="center"/>
      <protection hidden="1"/>
    </xf>
    <xf numFmtId="192" fontId="35" fillId="12" borderId="53" xfId="10" applyNumberFormat="1" applyFont="1" applyFill="1" applyBorder="1" applyAlignment="1" applyProtection="1">
      <alignment horizontal="center" vertical="center"/>
      <protection hidden="1"/>
    </xf>
    <xf numFmtId="0" fontId="39" fillId="12" borderId="38" xfId="6" applyFont="1" applyFill="1" applyBorder="1" applyAlignment="1" applyProtection="1">
      <alignment horizontal="center" vertical="center"/>
      <protection hidden="1"/>
    </xf>
    <xf numFmtId="192" fontId="37" fillId="0" borderId="136" xfId="11" applyNumberFormat="1" applyFont="1" applyFill="1" applyBorder="1" applyAlignment="1" applyProtection="1">
      <alignment horizontal="center" vertical="center" shrinkToFit="1"/>
      <protection locked="0"/>
    </xf>
    <xf numFmtId="0" fontId="39" fillId="12" borderId="137" xfId="6" applyFont="1" applyFill="1" applyBorder="1" applyAlignment="1" applyProtection="1">
      <alignment horizontal="center" vertical="center" shrinkToFit="1"/>
      <protection locked="0"/>
    </xf>
    <xf numFmtId="0" fontId="39" fillId="12" borderId="138" xfId="6" applyFont="1" applyFill="1" applyBorder="1" applyAlignment="1" applyProtection="1">
      <alignment horizontal="center" vertical="center" shrinkToFit="1"/>
      <protection locked="0"/>
    </xf>
    <xf numFmtId="0" fontId="37" fillId="12" borderId="51" xfId="6" applyFont="1" applyFill="1" applyBorder="1" applyAlignment="1" applyProtection="1">
      <alignment horizontal="center" vertical="center"/>
      <protection hidden="1"/>
    </xf>
    <xf numFmtId="0" fontId="39" fillId="12" borderId="52" xfId="6" applyFont="1" applyFill="1" applyBorder="1" applyAlignment="1" applyProtection="1">
      <alignment horizontal="center" vertical="center"/>
      <protection hidden="1"/>
    </xf>
    <xf numFmtId="192" fontId="37" fillId="12" borderId="38" xfId="6" applyNumberFormat="1" applyFont="1" applyFill="1" applyBorder="1" applyAlignment="1" applyProtection="1">
      <alignment horizontal="center" vertical="center" wrapText="1"/>
      <protection hidden="1"/>
    </xf>
    <xf numFmtId="0" fontId="37" fillId="12" borderId="27" xfId="6" applyFont="1" applyFill="1" applyBorder="1" applyAlignment="1" applyProtection="1">
      <alignment vertical="center" textRotation="90" wrapText="1"/>
      <protection hidden="1"/>
    </xf>
    <xf numFmtId="191" fontId="37" fillId="12" borderId="38" xfId="6" applyNumberFormat="1" applyFont="1" applyFill="1" applyBorder="1" applyAlignment="1" applyProtection="1">
      <alignment horizontal="center" vertical="center" wrapText="1"/>
      <protection hidden="1"/>
    </xf>
    <xf numFmtId="192" fontId="37" fillId="12" borderId="67" xfId="6" applyNumberFormat="1" applyFont="1" applyFill="1" applyBorder="1" applyAlignment="1" applyProtection="1">
      <alignment horizontal="center" vertical="center" shrinkToFit="1"/>
      <protection hidden="1"/>
    </xf>
    <xf numFmtId="192" fontId="37" fillId="12" borderId="39" xfId="6" applyNumberFormat="1" applyFont="1" applyFill="1" applyBorder="1" applyAlignment="1" applyProtection="1">
      <alignment horizontal="center" vertical="center" shrinkToFit="1"/>
      <protection hidden="1"/>
    </xf>
    <xf numFmtId="0" fontId="35" fillId="12" borderId="48" xfId="10" applyFont="1" applyFill="1" applyBorder="1" applyAlignment="1" applyProtection="1">
      <alignment vertical="center"/>
      <protection hidden="1"/>
    </xf>
    <xf numFmtId="192" fontId="37" fillId="12" borderId="131" xfId="6" applyNumberFormat="1" applyFont="1" applyFill="1" applyBorder="1" applyAlignment="1" applyProtection="1">
      <alignment vertical="center"/>
      <protection hidden="1"/>
    </xf>
    <xf numFmtId="192" fontId="37" fillId="12" borderId="139" xfId="6" applyNumberFormat="1" applyFont="1" applyFill="1" applyBorder="1" applyAlignment="1" applyProtection="1">
      <alignment vertical="center"/>
      <protection hidden="1"/>
    </xf>
    <xf numFmtId="192" fontId="37" fillId="12" borderId="129" xfId="6" applyNumberFormat="1" applyFont="1" applyFill="1" applyBorder="1" applyAlignment="1" applyProtection="1">
      <alignment vertical="center"/>
      <protection hidden="1"/>
    </xf>
    <xf numFmtId="192" fontId="37" fillId="12" borderId="38" xfId="6" applyNumberFormat="1" applyFont="1" applyFill="1" applyBorder="1" applyAlignment="1" applyProtection="1">
      <alignment horizontal="center" vertical="center"/>
      <protection hidden="1"/>
    </xf>
    <xf numFmtId="0" fontId="33" fillId="0" borderId="37" xfId="10" applyBorder="1" applyAlignment="1" applyProtection="1">
      <alignment vertical="center"/>
      <protection hidden="1"/>
    </xf>
    <xf numFmtId="0" fontId="33" fillId="0" borderId="94" xfId="10" applyBorder="1" applyAlignment="1" applyProtection="1">
      <alignment vertical="center"/>
      <protection hidden="1"/>
    </xf>
    <xf numFmtId="196" fontId="35" fillId="3" borderId="67" xfId="10" applyNumberFormat="1" applyFont="1" applyFill="1" applyBorder="1" applyAlignment="1" applyProtection="1">
      <alignment horizontal="center" vertical="center" shrinkToFit="1"/>
      <protection hidden="1"/>
    </xf>
    <xf numFmtId="196" fontId="35" fillId="3" borderId="59" xfId="1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2" applyAlignment="1" applyProtection="1">
      <alignment horizontal="right" vertical="center"/>
      <protection locked="0"/>
    </xf>
    <xf numFmtId="0" fontId="25" fillId="0" borderId="0" xfId="2" applyFo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25" fillId="0" borderId="0" xfId="2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 shrinkToFit="1"/>
      <protection locked="0"/>
    </xf>
    <xf numFmtId="0" fontId="5" fillId="0" borderId="0" xfId="2" applyFont="1" applyBorder="1" applyAlignment="1" applyProtection="1">
      <alignment horizontal="left" vertical="center" shrinkToFit="1"/>
      <protection locked="0"/>
    </xf>
    <xf numFmtId="187" fontId="70" fillId="0" borderId="0" xfId="2" applyNumberFormat="1" applyFont="1" applyBorder="1" applyAlignment="1" applyProtection="1">
      <alignment horizontal="center" vertical="center"/>
      <protection locked="0"/>
    </xf>
    <xf numFmtId="0" fontId="25" fillId="0" borderId="0" xfId="2" applyFont="1" applyBorder="1" applyProtection="1">
      <alignment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12" fontId="59" fillId="0" borderId="0" xfId="2" applyNumberFormat="1" applyFont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187" fontId="59" fillId="0" borderId="0" xfId="2" applyNumberFormat="1" applyFont="1" applyBorder="1" applyAlignment="1" applyProtection="1">
      <alignment horizontal="center" vertical="center"/>
      <protection locked="0"/>
    </xf>
    <xf numFmtId="0" fontId="3" fillId="0" borderId="0" xfId="2" applyFont="1" applyBorder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12" fontId="70" fillId="0" borderId="0" xfId="2" applyNumberFormat="1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vertical="center"/>
      <protection locked="0"/>
    </xf>
    <xf numFmtId="0" fontId="25" fillId="0" borderId="0" xfId="2" applyFont="1" applyAlignment="1" applyProtection="1">
      <alignment vertical="center"/>
      <protection locked="0"/>
    </xf>
    <xf numFmtId="0" fontId="72" fillId="0" borderId="0" xfId="2" applyFont="1" applyProtection="1">
      <alignment vertical="center"/>
    </xf>
    <xf numFmtId="0" fontId="16" fillId="0" borderId="0" xfId="2" applyFont="1" applyProtection="1">
      <alignment vertical="center"/>
    </xf>
    <xf numFmtId="0" fontId="25" fillId="0" borderId="0" xfId="2" applyFont="1" applyAlignment="1" applyProtection="1">
      <alignment horizontal="right" vertical="center"/>
    </xf>
    <xf numFmtId="0" fontId="25" fillId="0" borderId="0" xfId="2" applyFont="1" applyProtection="1">
      <alignment vertical="center"/>
    </xf>
    <xf numFmtId="0" fontId="5" fillId="0" borderId="0" xfId="2" applyFont="1" applyAlignment="1" applyProtection="1">
      <alignment horizontal="left" vertical="center" shrinkToFit="1"/>
    </xf>
    <xf numFmtId="0" fontId="25" fillId="0" borderId="70" xfId="2" applyFont="1" applyBorder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center"/>
    </xf>
    <xf numFmtId="38" fontId="25" fillId="0" borderId="0" xfId="1" applyFont="1" applyBorder="1" applyAlignment="1" applyProtection="1">
      <alignment horizontal="center" vertical="center"/>
    </xf>
    <xf numFmtId="0" fontId="73" fillId="0" borderId="0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7" borderId="51" xfId="0" applyFont="1" applyFill="1" applyBorder="1" applyAlignment="1">
      <alignment horizontal="center" vertical="center"/>
    </xf>
    <xf numFmtId="0" fontId="44" fillId="7" borderId="59" xfId="0" applyFont="1" applyFill="1" applyBorder="1" applyAlignment="1">
      <alignment horizontal="center" vertical="center"/>
    </xf>
    <xf numFmtId="0" fontId="44" fillId="9" borderId="36" xfId="0" applyFont="1" applyFill="1" applyBorder="1" applyAlignment="1">
      <alignment horizontal="center" vertical="center"/>
    </xf>
    <xf numFmtId="0" fontId="44" fillId="9" borderId="1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38" fontId="44" fillId="0" borderId="19" xfId="0" applyNumberFormat="1" applyFont="1" applyBorder="1" applyAlignment="1">
      <alignment horizontal="right" vertical="center"/>
    </xf>
    <xf numFmtId="0" fontId="44" fillId="0" borderId="37" xfId="0" applyFont="1" applyBorder="1" applyAlignment="1">
      <alignment horizontal="left" vertical="center"/>
    </xf>
    <xf numFmtId="0" fontId="44" fillId="0" borderId="51" xfId="0" applyFont="1" applyBorder="1" applyAlignment="1">
      <alignment horizontal="center" vertical="center"/>
    </xf>
    <xf numFmtId="0" fontId="44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vertical="center"/>
    </xf>
    <xf numFmtId="38" fontId="0" fillId="17" borderId="1" xfId="1" applyFont="1" applyFill="1" applyBorder="1">
      <alignment vertical="center"/>
    </xf>
    <xf numFmtId="0" fontId="87" fillId="0" borderId="0" xfId="0" applyFont="1" applyAlignment="1">
      <alignment vertical="center"/>
    </xf>
    <xf numFmtId="14" fontId="8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4" fillId="9" borderId="45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left" vertical="center"/>
    </xf>
    <xf numFmtId="0" fontId="44" fillId="0" borderId="57" xfId="0" applyFont="1" applyBorder="1" applyAlignment="1">
      <alignment horizontal="left" vertical="center"/>
    </xf>
    <xf numFmtId="0" fontId="44" fillId="9" borderId="36" xfId="0" applyFont="1" applyFill="1" applyBorder="1" applyAlignment="1">
      <alignment horizontal="right" vertical="center"/>
    </xf>
    <xf numFmtId="0" fontId="44" fillId="9" borderId="37" xfId="0" applyFont="1" applyFill="1" applyBorder="1" applyAlignment="1">
      <alignment horizontal="right" vertical="center"/>
    </xf>
    <xf numFmtId="177" fontId="44" fillId="9" borderId="37" xfId="1" applyNumberFormat="1" applyFont="1" applyFill="1" applyBorder="1" applyAlignment="1">
      <alignment horizontal="right" vertical="center"/>
    </xf>
    <xf numFmtId="38" fontId="44" fillId="0" borderId="39" xfId="1" applyFont="1" applyFill="1" applyBorder="1" applyAlignment="1">
      <alignment horizontal="right" vertical="center"/>
    </xf>
    <xf numFmtId="0" fontId="44" fillId="0" borderId="64" xfId="0" applyFont="1" applyBorder="1" applyAlignment="1">
      <alignment horizontal="center" vertical="center"/>
    </xf>
    <xf numFmtId="0" fontId="44" fillId="0" borderId="64" xfId="0" applyFont="1" applyBorder="1" applyAlignment="1">
      <alignment horizontal="left" vertical="center"/>
    </xf>
    <xf numFmtId="0" fontId="44" fillId="0" borderId="50" xfId="0" applyFont="1" applyBorder="1" applyAlignment="1">
      <alignment horizontal="left" vertical="center"/>
    </xf>
    <xf numFmtId="0" fontId="44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38" fontId="0" fillId="0" borderId="1" xfId="1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74" fillId="0" borderId="2" xfId="0" applyFont="1" applyBorder="1" applyAlignment="1">
      <alignment horizontal="center" vertical="center" shrinkToFit="1"/>
    </xf>
    <xf numFmtId="0" fontId="74" fillId="0" borderId="1" xfId="0" applyFont="1" applyBorder="1" applyAlignment="1">
      <alignment horizontal="left" vertical="center"/>
    </xf>
    <xf numFmtId="38" fontId="44" fillId="0" borderId="1" xfId="1" applyFont="1" applyBorder="1" applyAlignment="1">
      <alignment horizontal="left" vertical="center"/>
    </xf>
    <xf numFmtId="0" fontId="44" fillId="9" borderId="4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3" xfId="2" applyBorder="1" applyAlignment="1" applyProtection="1">
      <alignment horizontal="center" vertical="center" shrinkToFit="1"/>
      <protection locked="0"/>
    </xf>
    <xf numFmtId="0" fontId="9" fillId="0" borderId="0" xfId="2" applyBorder="1" applyAlignment="1" applyProtection="1">
      <alignment horizontal="center" vertical="center"/>
    </xf>
    <xf numFmtId="0" fontId="9" fillId="0" borderId="62" xfId="2" applyBorder="1" applyAlignment="1" applyProtection="1">
      <alignment horizontal="center" vertical="center"/>
    </xf>
    <xf numFmtId="0" fontId="9" fillId="0" borderId="62" xfId="2" applyBorder="1" applyAlignment="1" applyProtection="1">
      <alignment horizontal="left" vertical="center" wrapText="1"/>
    </xf>
    <xf numFmtId="0" fontId="9" fillId="0" borderId="0" xfId="2" applyFont="1" applyProtection="1">
      <alignment vertical="center"/>
    </xf>
    <xf numFmtId="0" fontId="9" fillId="0" borderId="0" xfId="2" applyFont="1" applyBorder="1" applyProtection="1">
      <alignment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0" fontId="9" fillId="0" borderId="3" xfId="2" applyBorder="1" applyAlignment="1" applyProtection="1">
      <alignment horizontal="center" vertical="center" shrinkToFit="1"/>
      <protection locked="0"/>
    </xf>
    <xf numFmtId="0" fontId="25" fillId="0" borderId="1" xfId="2" applyFont="1" applyBorder="1" applyAlignment="1" applyProtection="1">
      <alignment horizontal="center" vertical="center"/>
      <protection locked="0"/>
    </xf>
    <xf numFmtId="0" fontId="9" fillId="14" borderId="2" xfId="2" applyFill="1" applyBorder="1" applyAlignment="1" applyProtection="1">
      <alignment horizontal="center" vertical="center"/>
    </xf>
    <xf numFmtId="0" fontId="9" fillId="14" borderId="3" xfId="2" applyFill="1" applyBorder="1" applyAlignment="1" applyProtection="1">
      <alignment horizontal="center" vertical="center"/>
    </xf>
    <xf numFmtId="0" fontId="9" fillId="14" borderId="4" xfId="2" applyFill="1" applyBorder="1" applyAlignment="1" applyProtection="1">
      <alignment horizontal="center" vertical="center"/>
    </xf>
    <xf numFmtId="189" fontId="14" fillId="0" borderId="2" xfId="2" applyNumberFormat="1" applyFont="1" applyBorder="1" applyAlignment="1" applyProtection="1">
      <alignment horizontal="center" vertical="center"/>
      <protection locked="0"/>
    </xf>
    <xf numFmtId="189" fontId="14" fillId="0" borderId="3" xfId="2" applyNumberFormat="1" applyFont="1" applyBorder="1" applyAlignment="1" applyProtection="1">
      <alignment horizontal="center" vertical="center"/>
      <protection locked="0"/>
    </xf>
    <xf numFmtId="0" fontId="9" fillId="0" borderId="3" xfId="2" applyBorder="1" applyAlignment="1" applyProtection="1">
      <alignment horizontal="center" vertical="center"/>
    </xf>
    <xf numFmtId="0" fontId="9" fillId="0" borderId="4" xfId="2" applyBorder="1" applyAlignment="1" applyProtection="1">
      <alignment horizontal="center" vertical="center"/>
    </xf>
    <xf numFmtId="0" fontId="9" fillId="0" borderId="2" xfId="2" applyBorder="1" applyAlignment="1" applyProtection="1">
      <alignment horizontal="center" vertical="center" shrinkToFit="1"/>
      <protection locked="0"/>
    </xf>
    <xf numFmtId="0" fontId="5" fillId="14" borderId="33" xfId="2" applyFont="1" applyFill="1" applyBorder="1" applyAlignment="1" applyProtection="1">
      <alignment horizontal="center" vertical="center" wrapText="1"/>
    </xf>
    <xf numFmtId="0" fontId="5" fillId="14" borderId="33" xfId="2" applyFont="1" applyFill="1" applyBorder="1" applyAlignment="1" applyProtection="1">
      <alignment horizontal="center" vertical="center"/>
    </xf>
    <xf numFmtId="0" fontId="5" fillId="14" borderId="19" xfId="2" applyFont="1" applyFill="1" applyBorder="1" applyAlignment="1" applyProtection="1">
      <alignment horizontal="center" vertical="center"/>
    </xf>
    <xf numFmtId="0" fontId="24" fillId="0" borderId="33" xfId="2" applyFont="1" applyBorder="1" applyAlignment="1" applyProtection="1">
      <alignment horizontal="center" vertical="center"/>
      <protection locked="0"/>
    </xf>
    <xf numFmtId="0" fontId="24" fillId="0" borderId="19" xfId="2" applyFont="1" applyBorder="1" applyAlignment="1" applyProtection="1">
      <alignment horizontal="center" vertical="center"/>
      <protection locked="0"/>
    </xf>
    <xf numFmtId="0" fontId="25" fillId="0" borderId="34" xfId="2" applyFont="1" applyBorder="1" applyAlignment="1" applyProtection="1">
      <alignment horizontal="center" vertical="center"/>
      <protection locked="0"/>
    </xf>
    <xf numFmtId="0" fontId="25" fillId="0" borderId="64" xfId="2" applyFont="1" applyBorder="1" applyAlignment="1" applyProtection="1">
      <alignment horizontal="center" vertical="center"/>
      <protection locked="0"/>
    </xf>
    <xf numFmtId="0" fontId="25" fillId="0" borderId="56" xfId="2" applyFont="1" applyBorder="1" applyAlignment="1" applyProtection="1">
      <alignment horizontal="center" vertical="center"/>
      <protection locked="0"/>
    </xf>
    <xf numFmtId="0" fontId="25" fillId="0" borderId="55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54" xfId="2" applyFont="1" applyBorder="1" applyAlignment="1" applyProtection="1">
      <alignment horizontal="center" vertical="center"/>
      <protection locked="0"/>
    </xf>
    <xf numFmtId="0" fontId="66" fillId="0" borderId="0" xfId="2" applyFont="1" applyAlignment="1" applyProtection="1">
      <alignment horizontal="center" vertical="center" wrapText="1"/>
    </xf>
    <xf numFmtId="0" fontId="66" fillId="0" borderId="0" xfId="2" applyFont="1" applyAlignment="1" applyProtection="1">
      <alignment horizontal="center" vertical="center"/>
    </xf>
    <xf numFmtId="0" fontId="9" fillId="6" borderId="2" xfId="2" applyFont="1" applyFill="1" applyBorder="1" applyAlignment="1" applyProtection="1">
      <alignment horizontal="center" vertical="center"/>
    </xf>
    <xf numFmtId="0" fontId="9" fillId="6" borderId="3" xfId="2" applyFont="1" applyFill="1" applyBorder="1" applyAlignment="1" applyProtection="1">
      <alignment horizontal="center" vertical="center"/>
    </xf>
    <xf numFmtId="0" fontId="9" fillId="6" borderId="4" xfId="2" applyFont="1" applyFill="1" applyBorder="1" applyAlignment="1" applyProtection="1">
      <alignment horizontal="center" vertical="center"/>
    </xf>
    <xf numFmtId="0" fontId="25" fillId="0" borderId="2" xfId="2" applyFont="1" applyBorder="1" applyAlignment="1" applyProtection="1">
      <alignment horizontal="left" vertical="center" indent="1"/>
      <protection locked="0"/>
    </xf>
    <xf numFmtId="0" fontId="25" fillId="0" borderId="3" xfId="2" applyFont="1" applyBorder="1" applyAlignment="1" applyProtection="1">
      <alignment horizontal="left" vertical="center" indent="1"/>
      <protection locked="0"/>
    </xf>
    <xf numFmtId="0" fontId="25" fillId="0" borderId="4" xfId="2" applyFont="1" applyBorder="1" applyAlignment="1" applyProtection="1">
      <alignment horizontal="left" vertical="center" indent="1"/>
      <protection locked="0"/>
    </xf>
    <xf numFmtId="0" fontId="9" fillId="6" borderId="2" xfId="2" applyFont="1" applyFill="1" applyBorder="1" applyAlignment="1" applyProtection="1">
      <alignment horizontal="center" vertical="center" wrapText="1"/>
    </xf>
    <xf numFmtId="0" fontId="9" fillId="6" borderId="3" xfId="2" applyFont="1" applyFill="1" applyBorder="1" applyAlignment="1" applyProtection="1">
      <alignment horizontal="center" vertical="center" wrapText="1"/>
    </xf>
    <xf numFmtId="0" fontId="9" fillId="6" borderId="4" xfId="2" applyFont="1" applyFill="1" applyBorder="1" applyAlignment="1" applyProtection="1">
      <alignment horizontal="center" vertical="center" wrapText="1"/>
    </xf>
    <xf numFmtId="0" fontId="25" fillId="0" borderId="2" xfId="2" applyFont="1" applyBorder="1" applyAlignment="1" applyProtection="1">
      <alignment horizontal="left" vertical="center" wrapText="1" indent="1"/>
      <protection locked="0"/>
    </xf>
    <xf numFmtId="0" fontId="25" fillId="0" borderId="3" xfId="2" applyFont="1" applyBorder="1" applyAlignment="1" applyProtection="1">
      <alignment horizontal="left" vertical="center" wrapText="1" indent="1"/>
      <protection locked="0"/>
    </xf>
    <xf numFmtId="0" fontId="25" fillId="0" borderId="4" xfId="2" applyFont="1" applyBorder="1" applyAlignment="1" applyProtection="1">
      <alignment horizontal="left" vertical="center" wrapText="1" indent="1"/>
      <protection locked="0"/>
    </xf>
    <xf numFmtId="0" fontId="5" fillId="14" borderId="34" xfId="2" applyFont="1" applyFill="1" applyBorder="1" applyAlignment="1" applyProtection="1">
      <alignment horizontal="center" vertical="center"/>
    </xf>
    <xf numFmtId="0" fontId="5" fillId="14" borderId="64" xfId="2" applyFont="1" applyFill="1" applyBorder="1" applyAlignment="1" applyProtection="1">
      <alignment horizontal="center" vertical="center"/>
    </xf>
    <xf numFmtId="0" fontId="5" fillId="14" borderId="56" xfId="2" applyFont="1" applyFill="1" applyBorder="1" applyAlignment="1" applyProtection="1">
      <alignment horizontal="center" vertical="center"/>
    </xf>
    <xf numFmtId="0" fontId="5" fillId="14" borderId="70" xfId="2" applyFont="1" applyFill="1" applyBorder="1" applyAlignment="1" applyProtection="1">
      <alignment horizontal="center" vertical="center"/>
    </xf>
    <xf numFmtId="0" fontId="5" fillId="14" borderId="0" xfId="2" applyFont="1" applyFill="1" applyBorder="1" applyAlignment="1" applyProtection="1">
      <alignment horizontal="center" vertical="center"/>
    </xf>
    <xf numFmtId="0" fontId="5" fillId="14" borderId="62" xfId="2" applyFont="1" applyFill="1" applyBorder="1" applyAlignment="1" applyProtection="1">
      <alignment horizontal="center" vertical="center"/>
    </xf>
    <xf numFmtId="0" fontId="5" fillId="14" borderId="55" xfId="2" applyFont="1" applyFill="1" applyBorder="1" applyAlignment="1" applyProtection="1">
      <alignment horizontal="center" vertical="center"/>
    </xf>
    <xf numFmtId="0" fontId="5" fillId="14" borderId="5" xfId="2" applyFont="1" applyFill="1" applyBorder="1" applyAlignment="1" applyProtection="1">
      <alignment horizontal="center" vertical="center"/>
    </xf>
    <xf numFmtId="0" fontId="5" fillId="14" borderId="54" xfId="2" applyFont="1" applyFill="1" applyBorder="1" applyAlignment="1" applyProtection="1">
      <alignment horizontal="center" vertical="center"/>
    </xf>
    <xf numFmtId="38" fontId="25" fillId="0" borderId="2" xfId="1" applyFont="1" applyBorder="1" applyAlignment="1" applyProtection="1">
      <alignment horizontal="right" vertical="center" shrinkToFit="1"/>
      <protection locked="0"/>
    </xf>
    <xf numFmtId="38" fontId="25" fillId="0" borderId="3" xfId="1" applyFont="1" applyBorder="1" applyAlignment="1" applyProtection="1">
      <alignment horizontal="right" vertical="center" shrinkToFit="1"/>
      <protection locked="0"/>
    </xf>
    <xf numFmtId="0" fontId="25" fillId="0" borderId="2" xfId="2" applyFont="1" applyBorder="1" applyAlignment="1" applyProtection="1">
      <alignment horizontal="right" vertical="center" wrapText="1"/>
      <protection locked="0"/>
    </xf>
    <xf numFmtId="0" fontId="25" fillId="0" borderId="3" xfId="2" applyFont="1" applyBorder="1" applyAlignment="1" applyProtection="1">
      <alignment horizontal="right" vertical="center" wrapText="1"/>
      <protection locked="0"/>
    </xf>
    <xf numFmtId="0" fontId="25" fillId="0" borderId="2" xfId="2" applyFont="1" applyBorder="1" applyAlignment="1" applyProtection="1">
      <alignment horizontal="center" vertical="center" wrapText="1"/>
      <protection locked="0"/>
    </xf>
    <xf numFmtId="0" fontId="25" fillId="0" borderId="3" xfId="2" applyFont="1" applyBorder="1" applyAlignment="1" applyProtection="1">
      <alignment horizontal="center" vertical="center" wrapText="1"/>
      <protection locked="0"/>
    </xf>
    <xf numFmtId="0" fontId="25" fillId="0" borderId="4" xfId="2" applyFont="1" applyBorder="1" applyAlignment="1" applyProtection="1">
      <alignment horizontal="center" vertical="center" wrapText="1"/>
      <protection locked="0"/>
    </xf>
    <xf numFmtId="0" fontId="25" fillId="0" borderId="2" xfId="2" applyFont="1" applyBorder="1" applyAlignment="1" applyProtection="1">
      <alignment horizontal="left" vertical="center" indent="1" shrinkToFit="1"/>
      <protection locked="0"/>
    </xf>
    <xf numFmtId="0" fontId="25" fillId="0" borderId="3" xfId="2" applyFont="1" applyBorder="1" applyAlignment="1" applyProtection="1">
      <alignment horizontal="left" vertical="center" indent="1" shrinkToFit="1"/>
      <protection locked="0"/>
    </xf>
    <xf numFmtId="0" fontId="25" fillId="0" borderId="4" xfId="2" applyFont="1" applyBorder="1" applyAlignment="1" applyProtection="1">
      <alignment horizontal="left" vertical="center" indent="1" shrinkToFit="1"/>
      <protection locked="0"/>
    </xf>
    <xf numFmtId="0" fontId="25" fillId="0" borderId="2" xfId="2" applyFont="1" applyBorder="1" applyAlignment="1" applyProtection="1">
      <alignment horizontal="left" vertical="center" wrapText="1"/>
      <protection locked="0"/>
    </xf>
    <xf numFmtId="0" fontId="25" fillId="0" borderId="3" xfId="2" applyFont="1" applyBorder="1" applyAlignment="1" applyProtection="1">
      <alignment horizontal="left" vertical="center" wrapText="1"/>
      <protection locked="0"/>
    </xf>
    <xf numFmtId="0" fontId="25" fillId="0" borderId="4" xfId="2" applyFont="1" applyBorder="1" applyAlignment="1" applyProtection="1">
      <alignment horizontal="left" vertical="center" wrapText="1"/>
      <protection locked="0"/>
    </xf>
    <xf numFmtId="0" fontId="5" fillId="6" borderId="2" xfId="2" applyFont="1" applyFill="1" applyBorder="1" applyAlignment="1" applyProtection="1">
      <alignment horizontal="center" vertical="center" wrapText="1"/>
    </xf>
    <xf numFmtId="0" fontId="5" fillId="6" borderId="3" xfId="2" applyFont="1" applyFill="1" applyBorder="1" applyAlignment="1" applyProtection="1">
      <alignment horizontal="center" vertical="center" wrapText="1"/>
    </xf>
    <xf numFmtId="0" fontId="5" fillId="6" borderId="4" xfId="2" applyFont="1" applyFill="1" applyBorder="1" applyAlignment="1" applyProtection="1">
      <alignment horizontal="center" vertical="center" wrapText="1"/>
    </xf>
    <xf numFmtId="0" fontId="5" fillId="14" borderId="1" xfId="2" applyFont="1" applyFill="1" applyBorder="1" applyAlignment="1" applyProtection="1">
      <alignment horizontal="center" vertical="center"/>
    </xf>
    <xf numFmtId="0" fontId="5" fillId="6" borderId="1" xfId="2" applyFont="1" applyFill="1" applyBorder="1" applyAlignment="1" applyProtection="1">
      <alignment horizontal="center" vertical="center" wrapText="1"/>
    </xf>
    <xf numFmtId="187" fontId="25" fillId="0" borderId="1" xfId="2" applyNumberFormat="1" applyFont="1" applyBorder="1" applyAlignment="1" applyProtection="1">
      <alignment horizontal="center" vertical="center" wrapText="1"/>
      <protection hidden="1"/>
    </xf>
    <xf numFmtId="187" fontId="25" fillId="0" borderId="1" xfId="2" applyNumberFormat="1" applyFont="1" applyBorder="1" applyAlignment="1" applyProtection="1">
      <alignment horizontal="center" vertical="center"/>
      <protection hidden="1"/>
    </xf>
    <xf numFmtId="0" fontId="5" fillId="6" borderId="1" xfId="2" applyFont="1" applyFill="1" applyBorder="1" applyAlignment="1" applyProtection="1">
      <alignment horizontal="center" vertical="center"/>
    </xf>
    <xf numFmtId="0" fontId="5" fillId="14" borderId="1" xfId="2" applyFont="1" applyFill="1" applyBorder="1" applyAlignment="1" applyProtection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shrinkToFit="1"/>
    </xf>
    <xf numFmtId="0" fontId="25" fillId="0" borderId="1" xfId="2" applyFont="1" applyBorder="1" applyAlignment="1" applyProtection="1">
      <alignment horizontal="left" vertical="center" indent="1" shrinkToFit="1"/>
      <protection locked="0"/>
    </xf>
    <xf numFmtId="0" fontId="68" fillId="0" borderId="1" xfId="8" applyFont="1" applyBorder="1" applyAlignment="1" applyProtection="1">
      <alignment horizontal="left" vertical="center" indent="1" shrinkToFit="1"/>
      <protection locked="0"/>
    </xf>
    <xf numFmtId="0" fontId="5" fillId="6" borderId="2" xfId="2" applyFont="1" applyFill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/>
    </xf>
    <xf numFmtId="0" fontId="5" fillId="6" borderId="4" xfId="2" applyFont="1" applyFill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left" vertical="center"/>
      <protection locked="0"/>
    </xf>
    <xf numFmtId="0" fontId="5" fillId="0" borderId="3" xfId="2" applyFont="1" applyBorder="1" applyAlignment="1" applyProtection="1">
      <alignment horizontal="left" vertical="center"/>
      <protection locked="0"/>
    </xf>
    <xf numFmtId="0" fontId="5" fillId="0" borderId="4" xfId="2" applyFont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left" vertical="center" wrapText="1"/>
      <protection locked="0"/>
    </xf>
    <xf numFmtId="0" fontId="5" fillId="0" borderId="3" xfId="2" applyFont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 applyProtection="1">
      <alignment horizontal="left" vertical="center" wrapText="1"/>
      <protection locked="0"/>
    </xf>
    <xf numFmtId="0" fontId="9" fillId="0" borderId="64" xfId="2" applyBorder="1" applyAlignment="1" applyProtection="1">
      <alignment horizontal="center" vertical="center"/>
      <protection hidden="1"/>
    </xf>
    <xf numFmtId="0" fontId="9" fillId="0" borderId="5" xfId="2" applyBorder="1" applyAlignment="1" applyProtection="1">
      <alignment horizontal="center" vertical="center"/>
      <protection hidden="1"/>
    </xf>
    <xf numFmtId="0" fontId="9" fillId="0" borderId="64" xfId="2" applyBorder="1" applyAlignment="1" applyProtection="1">
      <alignment horizontal="center" vertical="center"/>
      <protection locked="0"/>
    </xf>
    <xf numFmtId="0" fontId="9" fillId="0" borderId="5" xfId="2" applyBorder="1" applyAlignment="1" applyProtection="1">
      <alignment horizontal="center" vertical="center"/>
      <protection locked="0"/>
    </xf>
    <xf numFmtId="0" fontId="9" fillId="0" borderId="56" xfId="2" applyBorder="1" applyAlignment="1" applyProtection="1">
      <alignment horizontal="center" vertical="center"/>
      <protection hidden="1"/>
    </xf>
    <xf numFmtId="0" fontId="9" fillId="0" borderId="54" xfId="2" applyBorder="1" applyAlignment="1" applyProtection="1">
      <alignment horizontal="center" vertical="center"/>
      <protection hidden="1"/>
    </xf>
    <xf numFmtId="0" fontId="9" fillId="0" borderId="34" xfId="2" applyBorder="1" applyAlignment="1" applyProtection="1">
      <alignment horizontal="center" vertical="center"/>
      <protection hidden="1"/>
    </xf>
    <xf numFmtId="0" fontId="9" fillId="0" borderId="55" xfId="2" applyBorder="1" applyAlignment="1" applyProtection="1">
      <alignment horizontal="center" vertical="center"/>
      <protection hidden="1"/>
    </xf>
    <xf numFmtId="188" fontId="9" fillId="0" borderId="1" xfId="2" applyNumberFormat="1" applyBorder="1" applyAlignment="1" applyProtection="1">
      <alignment horizontal="right" vertical="center" wrapText="1"/>
      <protection hidden="1"/>
    </xf>
    <xf numFmtId="188" fontId="9" fillId="0" borderId="2" xfId="2" applyNumberFormat="1" applyBorder="1" applyAlignment="1" applyProtection="1">
      <alignment horizontal="right" vertical="center" wrapText="1"/>
      <protection hidden="1"/>
    </xf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14" fillId="0" borderId="55" xfId="2" applyFont="1" applyBorder="1" applyAlignment="1" applyProtection="1">
      <alignment horizontal="center" vertical="center"/>
      <protection locked="0"/>
    </xf>
    <xf numFmtId="0" fontId="14" fillId="0" borderId="5" xfId="2" applyFont="1" applyBorder="1" applyAlignment="1" applyProtection="1">
      <alignment horizontal="center" vertical="center"/>
      <protection locked="0"/>
    </xf>
    <xf numFmtId="0" fontId="14" fillId="0" borderId="54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hidden="1"/>
    </xf>
    <xf numFmtId="0" fontId="5" fillId="0" borderId="3" xfId="2" applyFont="1" applyBorder="1" applyAlignment="1" applyProtection="1">
      <alignment horizontal="center" vertical="center"/>
      <protection hidden="1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64" xfId="2" applyFont="1" applyBorder="1" applyAlignment="1" applyProtection="1">
      <alignment horizontal="center" vertical="center"/>
      <protection locked="0"/>
    </xf>
    <xf numFmtId="0" fontId="5" fillId="0" borderId="56" xfId="2" applyFont="1" applyBorder="1" applyAlignment="1" applyProtection="1">
      <alignment horizontal="center" vertical="center"/>
      <protection locked="0"/>
    </xf>
    <xf numFmtId="0" fontId="5" fillId="0" borderId="55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left" vertical="top" wrapText="1"/>
      <protection locked="0"/>
    </xf>
    <xf numFmtId="0" fontId="5" fillId="0" borderId="64" xfId="2" applyFont="1" applyBorder="1" applyAlignment="1" applyProtection="1">
      <alignment horizontal="left" vertical="top" wrapText="1"/>
      <protection locked="0"/>
    </xf>
    <xf numFmtId="0" fontId="5" fillId="0" borderId="56" xfId="2" applyFont="1" applyBorder="1" applyAlignment="1" applyProtection="1">
      <alignment horizontal="left" vertical="top" wrapText="1"/>
      <protection locked="0"/>
    </xf>
    <xf numFmtId="0" fontId="5" fillId="0" borderId="70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62" xfId="2" applyFont="1" applyBorder="1" applyAlignment="1" applyProtection="1">
      <alignment horizontal="left" vertical="top" wrapText="1"/>
      <protection locked="0"/>
    </xf>
    <xf numFmtId="0" fontId="5" fillId="0" borderId="55" xfId="2" applyFont="1" applyBorder="1" applyAlignment="1" applyProtection="1">
      <alignment horizontal="left" vertical="top" wrapText="1"/>
      <protection locked="0"/>
    </xf>
    <xf numFmtId="0" fontId="5" fillId="0" borderId="5" xfId="2" applyFont="1" applyBorder="1" applyAlignment="1" applyProtection="1">
      <alignment horizontal="left" vertical="top" wrapText="1"/>
      <protection locked="0"/>
    </xf>
    <xf numFmtId="0" fontId="5" fillId="0" borderId="54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center" vertical="top"/>
      <protection hidden="1"/>
    </xf>
    <xf numFmtId="0" fontId="5" fillId="0" borderId="1" xfId="2" applyFont="1" applyBorder="1" applyAlignment="1" applyProtection="1">
      <alignment horizontal="center" vertical="center"/>
      <protection hidden="1"/>
    </xf>
    <xf numFmtId="0" fontId="9" fillId="0" borderId="2" xfId="2" applyBorder="1" applyAlignment="1" applyProtection="1">
      <alignment horizontal="center" vertical="center"/>
      <protection hidden="1"/>
    </xf>
    <xf numFmtId="0" fontId="9" fillId="0" borderId="3" xfId="2" applyBorder="1" applyAlignment="1" applyProtection="1">
      <alignment horizontal="center" vertical="center"/>
      <protection hidden="1"/>
    </xf>
    <xf numFmtId="0" fontId="9" fillId="0" borderId="4" xfId="2" applyBorder="1" applyAlignment="1" applyProtection="1">
      <alignment horizontal="center" vertical="center"/>
      <protection hidden="1"/>
    </xf>
    <xf numFmtId="0" fontId="9" fillId="0" borderId="1" xfId="2" applyBorder="1" applyAlignment="1" applyProtection="1">
      <alignment horizontal="center" vertical="center"/>
      <protection hidden="1"/>
    </xf>
    <xf numFmtId="0" fontId="9" fillId="0" borderId="0" xfId="2" applyBorder="1" applyAlignment="1" applyProtection="1">
      <alignment horizontal="center" vertical="center" shrinkToFit="1"/>
      <protection hidden="1"/>
    </xf>
    <xf numFmtId="0" fontId="5" fillId="0" borderId="34" xfId="2" applyFont="1" applyBorder="1" applyAlignment="1" applyProtection="1">
      <alignment horizontal="center" vertical="center"/>
      <protection hidden="1"/>
    </xf>
    <xf numFmtId="0" fontId="5" fillId="0" borderId="64" xfId="2" applyFont="1" applyBorder="1" applyAlignment="1" applyProtection="1">
      <alignment horizontal="center" vertical="center"/>
      <protection hidden="1"/>
    </xf>
    <xf numFmtId="0" fontId="5" fillId="0" borderId="56" xfId="2" applyFont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left" vertical="center" wrapText="1"/>
      <protection hidden="1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62" xfId="2" applyFont="1" applyBorder="1" applyAlignment="1" applyProtection="1">
      <alignment horizontal="center" vertical="center"/>
      <protection hidden="1"/>
    </xf>
    <xf numFmtId="0" fontId="14" fillId="0" borderId="33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 wrapText="1"/>
      <protection hidden="1"/>
    </xf>
    <xf numFmtId="0" fontId="5" fillId="0" borderId="70" xfId="2" applyFont="1" applyBorder="1" applyAlignment="1" applyProtection="1">
      <alignment horizontal="center" vertical="center"/>
      <protection hidden="1"/>
    </xf>
    <xf numFmtId="0" fontId="5" fillId="0" borderId="55" xfId="2" applyFont="1" applyBorder="1" applyAlignment="1" applyProtection="1">
      <alignment horizontal="center" vertical="center"/>
      <protection hidden="1"/>
    </xf>
    <xf numFmtId="0" fontId="5" fillId="0" borderId="5" xfId="2" applyFont="1" applyBorder="1" applyAlignment="1" applyProtection="1">
      <alignment horizontal="center" vertical="center"/>
      <protection hidden="1"/>
    </xf>
    <xf numFmtId="0" fontId="5" fillId="0" borderId="54" xfId="2" applyFont="1" applyBorder="1" applyAlignment="1" applyProtection="1">
      <alignment horizontal="center" vertical="center"/>
      <protection hidden="1"/>
    </xf>
    <xf numFmtId="0" fontId="25" fillId="0" borderId="1" xfId="2" applyFont="1" applyBorder="1" applyAlignment="1" applyProtection="1">
      <alignment horizontal="left" vertical="top" wrapText="1"/>
      <protection locked="0"/>
    </xf>
    <xf numFmtId="0" fontId="26" fillId="0" borderId="70" xfId="2" applyFont="1" applyBorder="1" applyAlignment="1" applyProtection="1">
      <alignment horizontal="center" vertical="center"/>
      <protection hidden="1"/>
    </xf>
    <xf numFmtId="0" fontId="26" fillId="0" borderId="0" xfId="2" applyFont="1" applyBorder="1" applyAlignment="1" applyProtection="1">
      <alignment horizontal="center" vertical="center"/>
      <protection hidden="1"/>
    </xf>
    <xf numFmtId="0" fontId="26" fillId="0" borderId="62" xfId="2" applyFont="1" applyBorder="1" applyAlignment="1" applyProtection="1">
      <alignment horizontal="center" vertical="center"/>
      <protection hidden="1"/>
    </xf>
    <xf numFmtId="0" fontId="26" fillId="0" borderId="55" xfId="2" applyFont="1" applyBorder="1" applyAlignment="1" applyProtection="1">
      <alignment horizontal="center" vertical="center"/>
      <protection hidden="1"/>
    </xf>
    <xf numFmtId="0" fontId="26" fillId="0" borderId="5" xfId="2" applyFont="1" applyBorder="1" applyAlignment="1" applyProtection="1">
      <alignment horizontal="center" vertical="center"/>
      <protection hidden="1"/>
    </xf>
    <xf numFmtId="0" fontId="26" fillId="0" borderId="54" xfId="2" applyFont="1" applyBorder="1" applyAlignment="1" applyProtection="1">
      <alignment horizontal="center" vertical="center"/>
      <protection hidden="1"/>
    </xf>
    <xf numFmtId="0" fontId="5" fillId="0" borderId="34" xfId="2" applyFont="1" applyBorder="1" applyAlignment="1" applyProtection="1">
      <alignment horizontal="center" vertical="center" shrinkToFit="1"/>
      <protection hidden="1"/>
    </xf>
    <xf numFmtId="0" fontId="5" fillId="0" borderId="64" xfId="2" applyFont="1" applyBorder="1" applyAlignment="1" applyProtection="1">
      <alignment horizontal="center" vertical="center" shrinkToFit="1"/>
      <protection hidden="1"/>
    </xf>
    <xf numFmtId="0" fontId="5" fillId="0" borderId="56" xfId="2" applyFont="1" applyBorder="1" applyAlignment="1" applyProtection="1">
      <alignment horizontal="center" vertical="center" shrinkToFit="1"/>
      <protection hidden="1"/>
    </xf>
    <xf numFmtId="0" fontId="9" fillId="0" borderId="0" xfId="2" applyBorder="1" applyAlignment="1" applyProtection="1">
      <alignment horizontal="center" vertical="center"/>
      <protection hidden="1"/>
    </xf>
    <xf numFmtId="189" fontId="14" fillId="0" borderId="0" xfId="2" applyNumberFormat="1" applyFont="1" applyBorder="1" applyAlignment="1" applyProtection="1">
      <alignment horizontal="center" vertical="center"/>
      <protection hidden="1"/>
    </xf>
    <xf numFmtId="0" fontId="3" fillId="0" borderId="66" xfId="2" applyFont="1" applyBorder="1" applyAlignment="1" applyProtection="1">
      <alignment horizontal="center" vertical="center"/>
    </xf>
    <xf numFmtId="0" fontId="14" fillId="0" borderId="34" xfId="2" applyFont="1" applyFill="1" applyBorder="1" applyAlignment="1" applyProtection="1">
      <alignment horizontal="center" vertical="center" wrapText="1"/>
      <protection locked="0"/>
    </xf>
    <xf numFmtId="0" fontId="14" fillId="0" borderId="56" xfId="2" applyFont="1" applyFill="1" applyBorder="1" applyAlignment="1" applyProtection="1">
      <alignment horizontal="center" vertical="center" wrapText="1"/>
      <protection locked="0"/>
    </xf>
    <xf numFmtId="0" fontId="14" fillId="0" borderId="55" xfId="2" applyFont="1" applyFill="1" applyBorder="1" applyAlignment="1" applyProtection="1">
      <alignment horizontal="center" vertical="center" wrapText="1"/>
      <protection locked="0"/>
    </xf>
    <xf numFmtId="0" fontId="14" fillId="0" borderId="54" xfId="2" applyFont="1" applyFill="1" applyBorder="1" applyAlignment="1" applyProtection="1">
      <alignment horizontal="center" vertical="center" wrapText="1"/>
      <protection locked="0"/>
    </xf>
    <xf numFmtId="187" fontId="59" fillId="0" borderId="64" xfId="2" applyNumberFormat="1" applyFont="1" applyBorder="1" applyAlignment="1" applyProtection="1">
      <alignment horizontal="center" vertical="center"/>
      <protection locked="0"/>
    </xf>
    <xf numFmtId="187" fontId="61" fillId="0" borderId="66" xfId="2" applyNumberFormat="1" applyFont="1" applyBorder="1" applyAlignment="1" applyProtection="1">
      <alignment horizontal="center" vertical="center"/>
      <protection locked="0"/>
    </xf>
    <xf numFmtId="187" fontId="59" fillId="0" borderId="66" xfId="2" applyNumberFormat="1" applyFont="1" applyBorder="1" applyAlignment="1" applyProtection="1">
      <alignment horizontal="center" vertical="center"/>
      <protection locked="0"/>
    </xf>
    <xf numFmtId="0" fontId="3" fillId="0" borderId="64" xfId="2" applyFont="1" applyBorder="1" applyAlignment="1" applyProtection="1">
      <alignment horizontal="center" vertical="center"/>
      <protection locked="0"/>
    </xf>
    <xf numFmtId="0" fontId="71" fillId="0" borderId="34" xfId="2" applyFont="1" applyBorder="1" applyAlignment="1" applyProtection="1">
      <alignment horizontal="center" vertical="center" shrinkToFit="1"/>
    </xf>
    <xf numFmtId="0" fontId="71" fillId="0" borderId="64" xfId="2" applyFont="1" applyBorder="1" applyAlignment="1" applyProtection="1">
      <alignment horizontal="center" vertical="center" shrinkToFit="1"/>
    </xf>
    <xf numFmtId="0" fontId="71" fillId="0" borderId="56" xfId="2" applyFont="1" applyBorder="1" applyAlignment="1" applyProtection="1">
      <alignment horizontal="center" vertical="center" shrinkToFit="1"/>
    </xf>
    <xf numFmtId="0" fontId="71" fillId="0" borderId="55" xfId="2" applyFont="1" applyBorder="1" applyAlignment="1" applyProtection="1">
      <alignment horizontal="center" vertical="center" shrinkToFit="1"/>
    </xf>
    <xf numFmtId="0" fontId="71" fillId="0" borderId="5" xfId="2" applyFont="1" applyBorder="1" applyAlignment="1" applyProtection="1">
      <alignment horizontal="center" vertical="center" shrinkToFit="1"/>
    </xf>
    <xf numFmtId="0" fontId="71" fillId="0" borderId="54" xfId="2" applyFont="1" applyBorder="1" applyAlignment="1" applyProtection="1">
      <alignment horizontal="center" vertical="center" shrinkToFit="1"/>
    </xf>
    <xf numFmtId="187" fontId="25" fillId="0" borderId="34" xfId="2" applyNumberFormat="1" applyFont="1" applyBorder="1" applyAlignment="1" applyProtection="1">
      <alignment horizontal="center" vertical="center" shrinkToFit="1"/>
    </xf>
    <xf numFmtId="187" fontId="25" fillId="0" borderId="64" xfId="2" applyNumberFormat="1" applyFont="1" applyBorder="1" applyAlignment="1" applyProtection="1">
      <alignment horizontal="center" vertical="center" shrinkToFit="1"/>
    </xf>
    <xf numFmtId="187" fontId="25" fillId="0" borderId="56" xfId="2" applyNumberFormat="1" applyFont="1" applyBorder="1" applyAlignment="1" applyProtection="1">
      <alignment horizontal="center" vertical="center" shrinkToFit="1"/>
    </xf>
    <xf numFmtId="187" fontId="25" fillId="0" borderId="55" xfId="2" applyNumberFormat="1" applyFont="1" applyBorder="1" applyAlignment="1" applyProtection="1">
      <alignment horizontal="center" vertical="center" shrinkToFit="1"/>
    </xf>
    <xf numFmtId="187" fontId="25" fillId="0" borderId="5" xfId="2" applyNumberFormat="1" applyFont="1" applyBorder="1" applyAlignment="1" applyProtection="1">
      <alignment horizontal="center" vertical="center" shrinkToFit="1"/>
    </xf>
    <xf numFmtId="187" fontId="25" fillId="0" borderId="54" xfId="2" applyNumberFormat="1" applyFont="1" applyBorder="1" applyAlignment="1" applyProtection="1">
      <alignment horizontal="center" vertical="center" shrinkToFit="1"/>
    </xf>
    <xf numFmtId="187" fontId="25" fillId="0" borderId="1" xfId="2" applyNumberFormat="1" applyFont="1" applyBorder="1" applyAlignment="1" applyProtection="1">
      <alignment horizontal="center" vertical="center" shrinkToFit="1"/>
    </xf>
    <xf numFmtId="187" fontId="25" fillId="0" borderId="2" xfId="2" applyNumberFormat="1" applyFont="1" applyBorder="1" applyAlignment="1" applyProtection="1">
      <alignment horizontal="center" vertical="center" shrinkToFit="1"/>
    </xf>
    <xf numFmtId="187" fontId="70" fillId="0" borderId="105" xfId="2" applyNumberFormat="1" applyFont="1" applyFill="1" applyBorder="1" applyAlignment="1" applyProtection="1">
      <alignment horizontal="right" vertical="center" shrinkToFit="1"/>
    </xf>
    <xf numFmtId="0" fontId="71" fillId="0" borderId="96" xfId="2" applyFont="1" applyFill="1" applyBorder="1" applyAlignment="1" applyProtection="1">
      <alignment horizontal="left" vertical="center" shrinkToFit="1"/>
      <protection locked="0"/>
    </xf>
    <xf numFmtId="0" fontId="71" fillId="0" borderId="97" xfId="2" applyFont="1" applyFill="1" applyBorder="1" applyAlignment="1" applyProtection="1">
      <alignment horizontal="left" vertical="center" shrinkToFit="1"/>
      <protection locked="0"/>
    </xf>
    <xf numFmtId="0" fontId="71" fillId="0" borderId="99" xfId="2" applyFont="1" applyFill="1" applyBorder="1" applyAlignment="1" applyProtection="1">
      <alignment horizontal="left" vertical="center" shrinkToFit="1"/>
      <protection locked="0"/>
    </xf>
    <xf numFmtId="187" fontId="70" fillId="0" borderId="96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97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99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96" xfId="2" applyNumberFormat="1" applyFont="1" applyFill="1" applyBorder="1" applyAlignment="1" applyProtection="1">
      <alignment horizontal="right" vertical="center" shrinkToFit="1"/>
    </xf>
    <xf numFmtId="187" fontId="70" fillId="0" borderId="97" xfId="2" applyNumberFormat="1" applyFont="1" applyFill="1" applyBorder="1" applyAlignment="1" applyProtection="1">
      <alignment horizontal="right" vertical="center" shrinkToFit="1"/>
    </xf>
    <xf numFmtId="187" fontId="70" fillId="0" borderId="99" xfId="2" applyNumberFormat="1" applyFont="1" applyFill="1" applyBorder="1" applyAlignment="1" applyProtection="1">
      <alignment horizontal="right" vertical="center" shrinkToFit="1"/>
    </xf>
    <xf numFmtId="0" fontId="71" fillId="0" borderId="34" xfId="2" applyFont="1" applyBorder="1" applyAlignment="1" applyProtection="1">
      <alignment horizontal="center" vertical="center" textRotation="255" wrapText="1"/>
    </xf>
    <xf numFmtId="0" fontId="71" fillId="0" borderId="70" xfId="2" applyFont="1" applyBorder="1" applyAlignment="1" applyProtection="1">
      <alignment horizontal="center" vertical="center" textRotation="255" wrapText="1"/>
    </xf>
    <xf numFmtId="0" fontId="71" fillId="0" borderId="55" xfId="2" applyFont="1" applyBorder="1" applyAlignment="1" applyProtection="1">
      <alignment horizontal="center" vertical="center" textRotation="255" wrapText="1"/>
    </xf>
    <xf numFmtId="0" fontId="71" fillId="0" borderId="103" xfId="2" applyFont="1" applyFill="1" applyBorder="1" applyAlignment="1" applyProtection="1">
      <alignment horizontal="left" vertical="center" shrinkToFit="1"/>
      <protection locked="0"/>
    </xf>
    <xf numFmtId="0" fontId="71" fillId="0" borderId="104" xfId="2" applyFont="1" applyFill="1" applyBorder="1" applyAlignment="1" applyProtection="1">
      <alignment horizontal="left" vertical="center" shrinkToFit="1"/>
      <protection locked="0"/>
    </xf>
    <xf numFmtId="187" fontId="70" fillId="0" borderId="105" xfId="2" applyNumberFormat="1" applyFont="1" applyFill="1" applyBorder="1" applyAlignment="1" applyProtection="1">
      <alignment horizontal="right" vertical="center" shrinkToFit="1"/>
      <protection locked="0"/>
    </xf>
    <xf numFmtId="0" fontId="71" fillId="0" borderId="3" xfId="2" applyFont="1" applyBorder="1" applyAlignment="1" applyProtection="1">
      <alignment horizontal="center" vertical="center"/>
    </xf>
    <xf numFmtId="187" fontId="70" fillId="0" borderId="1" xfId="2" applyNumberFormat="1" applyFont="1" applyFill="1" applyBorder="1" applyAlignment="1" applyProtection="1">
      <alignment horizontal="center" vertical="center"/>
      <protection locked="0"/>
    </xf>
    <xf numFmtId="187" fontId="70" fillId="0" borderId="1" xfId="2" applyNumberFormat="1" applyFont="1" applyFill="1" applyBorder="1" applyAlignment="1" applyProtection="1">
      <alignment horizontal="right" vertical="center" shrinkToFit="1"/>
    </xf>
    <xf numFmtId="187" fontId="70" fillId="0" borderId="98" xfId="2" applyNumberFormat="1" applyFont="1" applyFill="1" applyBorder="1" applyAlignment="1" applyProtection="1">
      <alignment horizontal="center" vertical="center"/>
      <protection locked="0"/>
    </xf>
    <xf numFmtId="187" fontId="70" fillId="0" borderId="98" xfId="2" applyNumberFormat="1" applyFont="1" applyFill="1" applyBorder="1" applyAlignment="1" applyProtection="1">
      <alignment horizontal="right" vertical="center"/>
      <protection locked="0"/>
    </xf>
    <xf numFmtId="187" fontId="70" fillId="0" borderId="98" xfId="2" applyNumberFormat="1" applyFont="1" applyFill="1" applyBorder="1" applyAlignment="1" applyProtection="1">
      <alignment horizontal="right" vertical="center" shrinkToFit="1"/>
      <protection locked="0"/>
    </xf>
    <xf numFmtId="187" fontId="70" fillId="15" borderId="98" xfId="2" applyNumberFormat="1" applyFont="1" applyFill="1" applyBorder="1" applyAlignment="1" applyProtection="1">
      <alignment horizontal="right" vertical="center" shrinkToFit="1"/>
    </xf>
    <xf numFmtId="187" fontId="70" fillId="15" borderId="105" xfId="2" applyNumberFormat="1" applyFont="1" applyFill="1" applyBorder="1" applyAlignment="1" applyProtection="1">
      <alignment horizontal="right" vertical="center" shrinkToFit="1"/>
    </xf>
    <xf numFmtId="0" fontId="9" fillId="0" borderId="33" xfId="2" applyFont="1" applyBorder="1" applyAlignment="1" applyProtection="1">
      <alignment horizontal="center" vertical="center"/>
      <protection locked="0"/>
    </xf>
    <xf numFmtId="0" fontId="9" fillId="0" borderId="33" xfId="2" applyFont="1" applyBorder="1" applyAlignment="1" applyProtection="1">
      <alignment horizontal="center" vertical="center" shrinkToFit="1"/>
      <protection locked="0"/>
    </xf>
    <xf numFmtId="0" fontId="71" fillId="0" borderId="100" xfId="2" applyFont="1" applyFill="1" applyBorder="1" applyAlignment="1" applyProtection="1">
      <alignment horizontal="left" vertical="center" shrinkToFit="1"/>
      <protection locked="0"/>
    </xf>
    <xf numFmtId="0" fontId="71" fillId="0" borderId="101" xfId="2" applyFont="1" applyFill="1" applyBorder="1" applyAlignment="1" applyProtection="1">
      <alignment horizontal="left" vertical="center" shrinkToFit="1"/>
      <protection locked="0"/>
    </xf>
    <xf numFmtId="187" fontId="70" fillId="0" borderId="93" xfId="2" applyNumberFormat="1" applyFont="1" applyFill="1" applyBorder="1" applyAlignment="1" applyProtection="1">
      <alignment horizontal="center" vertical="center"/>
      <protection locked="0"/>
    </xf>
    <xf numFmtId="187" fontId="70" fillId="0" borderId="93" xfId="2" applyNumberFormat="1" applyFont="1" applyFill="1" applyBorder="1" applyAlignment="1" applyProtection="1">
      <alignment horizontal="right" vertical="center"/>
      <protection locked="0"/>
    </xf>
    <xf numFmtId="187" fontId="70" fillId="0" borderId="93" xfId="2" applyNumberFormat="1" applyFont="1" applyFill="1" applyBorder="1" applyAlignment="1" applyProtection="1">
      <alignment horizontal="right" vertical="center" shrinkToFit="1"/>
      <protection locked="0"/>
    </xf>
    <xf numFmtId="187" fontId="70" fillId="15" borderId="93" xfId="2" applyNumberFormat="1" applyFont="1" applyFill="1" applyBorder="1" applyAlignment="1" applyProtection="1">
      <alignment horizontal="right" vertical="center" shrinkToFit="1"/>
    </xf>
    <xf numFmtId="0" fontId="71" fillId="0" borderId="1" xfId="2" applyFont="1" applyBorder="1" applyAlignment="1" applyProtection="1">
      <alignment horizontal="left" vertical="center" indent="1"/>
    </xf>
    <xf numFmtId="187" fontId="25" fillId="0" borderId="1" xfId="2" applyNumberFormat="1" applyFont="1" applyFill="1" applyBorder="1" applyAlignment="1" applyProtection="1">
      <alignment horizontal="left" vertical="center" indent="1"/>
    </xf>
    <xf numFmtId="0" fontId="9" fillId="0" borderId="1" xfId="2" applyBorder="1" applyAlignment="1" applyProtection="1">
      <alignment horizontal="center" vertical="center"/>
    </xf>
    <xf numFmtId="187" fontId="5" fillId="0" borderId="1" xfId="2" applyNumberFormat="1" applyFont="1" applyFill="1" applyBorder="1" applyAlignment="1" applyProtection="1">
      <alignment horizontal="center" vertical="center"/>
      <protection locked="0"/>
    </xf>
    <xf numFmtId="187" fontId="70" fillId="0" borderId="2" xfId="2" applyNumberFormat="1" applyFont="1" applyBorder="1" applyAlignment="1" applyProtection="1">
      <alignment horizontal="right" vertical="center" shrinkToFit="1"/>
    </xf>
    <xf numFmtId="0" fontId="70" fillId="0" borderId="3" xfId="2" applyFont="1" applyBorder="1" applyAlignment="1" applyProtection="1">
      <alignment horizontal="right" vertical="center" shrinkToFit="1"/>
    </xf>
    <xf numFmtId="0" fontId="70" fillId="0" borderId="4" xfId="2" applyFont="1" applyBorder="1" applyAlignment="1" applyProtection="1">
      <alignment horizontal="right" vertical="center" shrinkToFit="1"/>
    </xf>
    <xf numFmtId="187" fontId="70" fillId="0" borderId="105" xfId="2" applyNumberFormat="1" applyFont="1" applyFill="1" applyBorder="1" applyAlignment="1" applyProtection="1">
      <alignment horizontal="center" vertical="center"/>
      <protection locked="0"/>
    </xf>
    <xf numFmtId="187" fontId="70" fillId="0" borderId="105" xfId="2" applyNumberFormat="1" applyFont="1" applyFill="1" applyBorder="1" applyAlignment="1" applyProtection="1">
      <alignment horizontal="right" vertical="center"/>
      <protection locked="0"/>
    </xf>
    <xf numFmtId="187" fontId="70" fillId="0" borderId="1" xfId="2" applyNumberFormat="1" applyFont="1" applyFill="1" applyBorder="1" applyAlignment="1" applyProtection="1">
      <alignment horizontal="center" vertical="center"/>
    </xf>
    <xf numFmtId="0" fontId="9" fillId="0" borderId="70" xfId="2" applyBorder="1" applyAlignment="1" applyProtection="1">
      <alignment horizontal="center" vertical="center"/>
    </xf>
    <xf numFmtId="0" fontId="9" fillId="0" borderId="0" xfId="2" applyBorder="1" applyAlignment="1" applyProtection="1">
      <alignment horizontal="center" vertical="center"/>
    </xf>
    <xf numFmtId="0" fontId="9" fillId="0" borderId="62" xfId="2" applyBorder="1" applyAlignment="1" applyProtection="1">
      <alignment horizontal="center" vertical="center"/>
    </xf>
    <xf numFmtId="0" fontId="25" fillId="8" borderId="19" xfId="2" applyFont="1" applyFill="1" applyBorder="1" applyAlignment="1" applyProtection="1">
      <alignment horizontal="left" vertical="center" wrapText="1"/>
      <protection locked="0"/>
    </xf>
    <xf numFmtId="187" fontId="70" fillId="0" borderId="19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19" xfId="2" applyNumberFormat="1" applyFont="1" applyFill="1" applyBorder="1" applyAlignment="1" applyProtection="1">
      <alignment horizontal="right" vertical="center" shrinkToFit="1"/>
    </xf>
    <xf numFmtId="0" fontId="25" fillId="8" borderId="34" xfId="2" applyFont="1" applyFill="1" applyBorder="1" applyAlignment="1" applyProtection="1">
      <alignment horizontal="left" vertical="center" wrapText="1"/>
      <protection locked="0"/>
    </xf>
    <xf numFmtId="0" fontId="25" fillId="8" borderId="64" xfId="2" applyFont="1" applyFill="1" applyBorder="1" applyAlignment="1" applyProtection="1">
      <alignment horizontal="left" vertical="center" wrapText="1"/>
      <protection locked="0"/>
    </xf>
    <xf numFmtId="0" fontId="25" fillId="8" borderId="56" xfId="2" applyFont="1" applyFill="1" applyBorder="1" applyAlignment="1" applyProtection="1">
      <alignment horizontal="left" vertical="center" wrapText="1"/>
      <protection locked="0"/>
    </xf>
    <xf numFmtId="187" fontId="70" fillId="0" borderId="34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64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56" xfId="2" applyNumberFormat="1" applyFont="1" applyFill="1" applyBorder="1" applyAlignment="1" applyProtection="1">
      <alignment horizontal="right" vertical="center" shrinkToFit="1"/>
      <protection locked="0"/>
    </xf>
    <xf numFmtId="187" fontId="70" fillId="0" borderId="34" xfId="2" applyNumberFormat="1" applyFont="1" applyFill="1" applyBorder="1" applyAlignment="1" applyProtection="1">
      <alignment horizontal="right" vertical="center" shrinkToFit="1"/>
    </xf>
    <xf numFmtId="187" fontId="70" fillId="0" borderId="64" xfId="2" applyNumberFormat="1" applyFont="1" applyFill="1" applyBorder="1" applyAlignment="1" applyProtection="1">
      <alignment horizontal="right" vertical="center" shrinkToFit="1"/>
    </xf>
    <xf numFmtId="187" fontId="70" fillId="0" borderId="56" xfId="2" applyNumberFormat="1" applyFont="1" applyFill="1" applyBorder="1" applyAlignment="1" applyProtection="1">
      <alignment horizontal="right" vertical="center" shrinkToFit="1"/>
    </xf>
    <xf numFmtId="187" fontId="70" fillId="0" borderId="2" xfId="2" applyNumberFormat="1" applyFont="1" applyBorder="1" applyAlignment="1" applyProtection="1">
      <alignment horizontal="center" vertical="center"/>
    </xf>
    <xf numFmtId="187" fontId="70" fillId="0" borderId="3" xfId="2" applyNumberFormat="1" applyFont="1" applyBorder="1" applyAlignment="1" applyProtection="1">
      <alignment horizontal="center" vertical="center"/>
    </xf>
    <xf numFmtId="187" fontId="70" fillId="0" borderId="4" xfId="2" applyNumberFormat="1" applyFont="1" applyBorder="1" applyAlignment="1" applyProtection="1">
      <alignment horizontal="center" vertical="center"/>
    </xf>
    <xf numFmtId="187" fontId="5" fillId="0" borderId="1" xfId="2" applyNumberFormat="1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12" fontId="70" fillId="0" borderId="2" xfId="2" applyNumberFormat="1" applyFont="1" applyBorder="1" applyAlignment="1" applyProtection="1">
      <alignment horizontal="center" vertical="center"/>
    </xf>
    <xf numFmtId="12" fontId="70" fillId="0" borderId="3" xfId="2" applyNumberFormat="1" applyFont="1" applyBorder="1" applyAlignment="1" applyProtection="1">
      <alignment horizontal="center" vertical="center"/>
    </xf>
    <xf numFmtId="12" fontId="70" fillId="0" borderId="4" xfId="2" applyNumberFormat="1" applyFont="1" applyBorder="1" applyAlignment="1" applyProtection="1">
      <alignment horizontal="center" vertical="center"/>
    </xf>
    <xf numFmtId="187" fontId="70" fillId="0" borderId="36" xfId="2" applyNumberFormat="1" applyFont="1" applyBorder="1" applyAlignment="1" applyProtection="1">
      <alignment horizontal="center" vertical="center"/>
      <protection hidden="1"/>
    </xf>
    <xf numFmtId="187" fontId="70" fillId="0" borderId="37" xfId="2" applyNumberFormat="1" applyFont="1" applyBorder="1" applyAlignment="1" applyProtection="1">
      <alignment horizontal="center" vertical="center"/>
      <protection hidden="1"/>
    </xf>
    <xf numFmtId="187" fontId="70" fillId="0" borderId="39" xfId="2" applyNumberFormat="1" applyFont="1" applyBorder="1" applyAlignment="1" applyProtection="1">
      <alignment horizontal="center" vertical="center"/>
      <protection hidden="1"/>
    </xf>
    <xf numFmtId="187" fontId="70" fillId="0" borderId="2" xfId="0" applyNumberFormat="1" applyFont="1" applyBorder="1" applyAlignment="1" applyProtection="1">
      <alignment horizontal="center" vertical="center"/>
    </xf>
    <xf numFmtId="187" fontId="70" fillId="0" borderId="3" xfId="0" applyNumberFormat="1" applyFont="1" applyBorder="1" applyAlignment="1" applyProtection="1">
      <alignment horizontal="center" vertical="center"/>
    </xf>
    <xf numFmtId="187" fontId="70" fillId="0" borderId="4" xfId="0" applyNumberFormat="1" applyFont="1" applyBorder="1" applyAlignment="1" applyProtection="1">
      <alignment horizontal="center" vertical="center"/>
    </xf>
    <xf numFmtId="187" fontId="70" fillId="0" borderId="36" xfId="2" applyNumberFormat="1" applyFont="1" applyBorder="1" applyAlignment="1" applyProtection="1">
      <alignment horizontal="center" vertical="center"/>
    </xf>
    <xf numFmtId="187" fontId="70" fillId="0" borderId="37" xfId="2" applyNumberFormat="1" applyFont="1" applyBorder="1" applyAlignment="1" applyProtection="1">
      <alignment horizontal="center" vertical="center"/>
    </xf>
    <xf numFmtId="187" fontId="70" fillId="0" borderId="39" xfId="2" applyNumberFormat="1" applyFont="1" applyBorder="1" applyAlignment="1" applyProtection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41" fillId="10" borderId="45" xfId="0" applyFont="1" applyFill="1" applyBorder="1" applyAlignment="1">
      <alignment horizontal="center" vertical="center"/>
    </xf>
    <xf numFmtId="0" fontId="41" fillId="10" borderId="26" xfId="0" applyFont="1" applyFill="1" applyBorder="1" applyAlignment="1">
      <alignment horizontal="center" vertical="center"/>
    </xf>
    <xf numFmtId="0" fontId="41" fillId="10" borderId="80" xfId="0" applyFont="1" applyFill="1" applyBorder="1" applyAlignment="1">
      <alignment horizontal="left" vertical="center" shrinkToFit="1"/>
    </xf>
    <xf numFmtId="0" fontId="41" fillId="10" borderId="81" xfId="0" applyFont="1" applyFill="1" applyBorder="1" applyAlignment="1">
      <alignment horizontal="left" vertical="center" shrinkToFit="1"/>
    </xf>
    <xf numFmtId="0" fontId="41" fillId="10" borderId="79" xfId="0" applyFont="1" applyFill="1" applyBorder="1" applyAlignment="1">
      <alignment horizontal="left" vertical="center" shrinkToFit="1"/>
    </xf>
    <xf numFmtId="0" fontId="41" fillId="10" borderId="18" xfId="0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horizontal="center" vertical="center"/>
    </xf>
    <xf numFmtId="0" fontId="41" fillId="10" borderId="21" xfId="0" applyFont="1" applyFill="1" applyBorder="1" applyAlignment="1">
      <alignment horizontal="center" vertical="center"/>
    </xf>
    <xf numFmtId="0" fontId="59" fillId="10" borderId="0" xfId="0" applyFont="1" applyFill="1" applyBorder="1" applyAlignment="1">
      <alignment horizontal="center" vertical="center"/>
    </xf>
    <xf numFmtId="0" fontId="45" fillId="10" borderId="0" xfId="0" applyFont="1" applyFill="1" applyAlignment="1">
      <alignment horizontal="left" vertical="center"/>
    </xf>
    <xf numFmtId="0" fontId="44" fillId="10" borderId="78" xfId="0" applyFont="1" applyFill="1" applyBorder="1" applyAlignment="1">
      <alignment horizontal="center" vertical="center"/>
    </xf>
    <xf numFmtId="0" fontId="42" fillId="10" borderId="0" xfId="0" applyFont="1" applyFill="1" applyAlignment="1">
      <alignment horizontal="center" vertical="center"/>
    </xf>
    <xf numFmtId="0" fontId="44" fillId="10" borderId="5" xfId="0" applyFont="1" applyFill="1" applyBorder="1" applyAlignment="1">
      <alignment horizontal="center" vertical="center"/>
    </xf>
    <xf numFmtId="0" fontId="44" fillId="10" borderId="6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44" fillId="0" borderId="73" xfId="0" applyFont="1" applyFill="1" applyBorder="1" applyAlignment="1" applyProtection="1">
      <alignment horizontal="left" vertical="center" shrinkToFit="1"/>
      <protection locked="0"/>
    </xf>
    <xf numFmtId="0" fontId="44" fillId="0" borderId="74" xfId="0" applyFont="1" applyFill="1" applyBorder="1" applyAlignment="1" applyProtection="1">
      <alignment horizontal="left" vertical="center" shrinkToFit="1"/>
      <protection locked="0"/>
    </xf>
    <xf numFmtId="0" fontId="44" fillId="0" borderId="75" xfId="0" applyFont="1" applyFill="1" applyBorder="1" applyAlignment="1" applyProtection="1">
      <alignment horizontal="left" vertical="center" shrinkToFit="1"/>
      <protection locked="0"/>
    </xf>
    <xf numFmtId="0" fontId="46" fillId="0" borderId="72" xfId="0" applyFont="1" applyFill="1" applyBorder="1" applyAlignment="1" applyProtection="1">
      <alignment horizontal="left" vertical="center" indent="1"/>
      <protection locked="0"/>
    </xf>
    <xf numFmtId="0" fontId="59" fillId="10" borderId="80" xfId="0" applyFont="1" applyFill="1" applyBorder="1" applyAlignment="1">
      <alignment horizontal="left" vertical="center" shrinkToFit="1"/>
    </xf>
    <xf numFmtId="0" fontId="59" fillId="10" borderId="81" xfId="0" applyFont="1" applyFill="1" applyBorder="1" applyAlignment="1">
      <alignment horizontal="left" vertical="center" shrinkToFit="1"/>
    </xf>
    <xf numFmtId="0" fontId="59" fillId="10" borderId="79" xfId="0" applyFont="1" applyFill="1" applyBorder="1" applyAlignment="1">
      <alignment horizontal="left" vertical="center" shrinkToFit="1"/>
    </xf>
    <xf numFmtId="58" fontId="36" fillId="0" borderId="73" xfId="0" applyNumberFormat="1" applyFont="1" applyFill="1" applyBorder="1" applyAlignment="1" applyProtection="1">
      <alignment horizontal="center" vertical="center"/>
      <protection locked="0"/>
    </xf>
    <xf numFmtId="0" fontId="46" fillId="0" borderId="74" xfId="0" applyFont="1" applyFill="1" applyBorder="1" applyAlignment="1" applyProtection="1">
      <alignment horizontal="center" vertical="center"/>
      <protection locked="0"/>
    </xf>
    <xf numFmtId="0" fontId="46" fillId="0" borderId="75" xfId="0" applyFont="1" applyFill="1" applyBorder="1" applyAlignment="1" applyProtection="1">
      <alignment horizontal="center" vertical="center"/>
      <protection locked="0"/>
    </xf>
    <xf numFmtId="0" fontId="46" fillId="0" borderId="90" xfId="0" applyFont="1" applyFill="1" applyBorder="1" applyAlignment="1" applyProtection="1">
      <alignment horizontal="center" vertical="center"/>
      <protection locked="0"/>
    </xf>
    <xf numFmtId="0" fontId="46" fillId="0" borderId="92" xfId="0" applyFont="1" applyFill="1" applyBorder="1" applyAlignment="1" applyProtection="1">
      <alignment horizontal="center" vertical="center"/>
      <protection locked="0"/>
    </xf>
    <xf numFmtId="38" fontId="44" fillId="0" borderId="73" xfId="1" applyFont="1" applyFill="1" applyBorder="1" applyAlignment="1" applyProtection="1">
      <alignment horizontal="right" vertical="center"/>
      <protection locked="0"/>
    </xf>
    <xf numFmtId="38" fontId="44" fillId="0" borderId="75" xfId="1" applyFont="1" applyFill="1" applyBorder="1" applyAlignment="1" applyProtection="1">
      <alignment horizontal="right" vertical="center"/>
      <protection locked="0"/>
    </xf>
    <xf numFmtId="0" fontId="44" fillId="10" borderId="0" xfId="0" applyFont="1" applyFill="1" applyAlignment="1">
      <alignment horizontal="distributed" vertical="center"/>
    </xf>
    <xf numFmtId="0" fontId="44" fillId="10" borderId="0" xfId="0" applyFont="1" applyFill="1" applyBorder="1" applyAlignment="1">
      <alignment horizontal="distributed" vertical="center"/>
    </xf>
    <xf numFmtId="0" fontId="46" fillId="0" borderId="73" xfId="0" applyFont="1" applyFill="1" applyBorder="1" applyAlignment="1" applyProtection="1">
      <alignment horizontal="left" vertical="center"/>
      <protection locked="0"/>
    </xf>
    <xf numFmtId="0" fontId="46" fillId="0" borderId="74" xfId="0" applyFont="1" applyFill="1" applyBorder="1" applyAlignment="1" applyProtection="1">
      <alignment horizontal="left" vertical="center"/>
      <protection locked="0"/>
    </xf>
    <xf numFmtId="0" fontId="46" fillId="0" borderId="75" xfId="0" applyFont="1" applyFill="1" applyBorder="1" applyAlignment="1" applyProtection="1">
      <alignment horizontal="left" vertical="center"/>
      <protection locked="0"/>
    </xf>
    <xf numFmtId="0" fontId="44" fillId="7" borderId="36" xfId="0" applyFont="1" applyFill="1" applyBorder="1" applyAlignment="1">
      <alignment horizontal="left" vertical="center"/>
    </xf>
    <xf numFmtId="0" fontId="44" fillId="7" borderId="37" xfId="0" applyFont="1" applyFill="1" applyBorder="1" applyAlignment="1">
      <alignment horizontal="left" vertical="center"/>
    </xf>
    <xf numFmtId="0" fontId="44" fillId="7" borderId="39" xfId="0" applyFont="1" applyFill="1" applyBorder="1" applyAlignment="1">
      <alignment horizontal="left" vertical="center"/>
    </xf>
    <xf numFmtId="38" fontId="44" fillId="7" borderId="51" xfId="0" applyNumberFormat="1" applyFont="1" applyFill="1" applyBorder="1" applyAlignment="1">
      <alignment horizontal="center" vertical="center"/>
    </xf>
    <xf numFmtId="0" fontId="44" fillId="7" borderId="51" xfId="0" applyFont="1" applyFill="1" applyBorder="1" applyAlignment="1">
      <alignment horizontal="center" vertical="center"/>
    </xf>
    <xf numFmtId="38" fontId="44" fillId="7" borderId="50" xfId="0" applyNumberFormat="1" applyFont="1" applyFill="1" applyBorder="1" applyAlignment="1">
      <alignment horizontal="center" vertical="center"/>
    </xf>
    <xf numFmtId="0" fontId="44" fillId="7" borderId="59" xfId="0" applyFont="1" applyFill="1" applyBorder="1" applyAlignment="1">
      <alignment horizontal="center" vertical="center"/>
    </xf>
    <xf numFmtId="0" fontId="74" fillId="9" borderId="51" xfId="0" applyFont="1" applyFill="1" applyBorder="1" applyAlignment="1">
      <alignment horizontal="center" vertical="center"/>
    </xf>
    <xf numFmtId="0" fontId="74" fillId="9" borderId="59" xfId="0" applyFont="1" applyFill="1" applyBorder="1" applyAlignment="1">
      <alignment horizontal="center" vertical="center"/>
    </xf>
    <xf numFmtId="0" fontId="44" fillId="9" borderId="140" xfId="0" applyFont="1" applyFill="1" applyBorder="1" applyAlignment="1">
      <alignment horizontal="center" vertical="center" textRotation="255"/>
    </xf>
    <xf numFmtId="0" fontId="44" fillId="9" borderId="135" xfId="0" applyFont="1" applyFill="1" applyBorder="1" applyAlignment="1">
      <alignment horizontal="center" vertical="center" textRotation="255"/>
    </xf>
    <xf numFmtId="0" fontId="44" fillId="9" borderId="132" xfId="0" applyFont="1" applyFill="1" applyBorder="1" applyAlignment="1">
      <alignment horizontal="center" vertical="center" textRotation="255"/>
    </xf>
    <xf numFmtId="0" fontId="32" fillId="9" borderId="51" xfId="0" applyFont="1" applyFill="1" applyBorder="1" applyAlignment="1">
      <alignment horizontal="center" vertical="center"/>
    </xf>
    <xf numFmtId="0" fontId="32" fillId="9" borderId="59" xfId="0" applyFont="1" applyFill="1" applyBorder="1" applyAlignment="1">
      <alignment horizontal="center" vertical="center"/>
    </xf>
    <xf numFmtId="0" fontId="32" fillId="7" borderId="32" xfId="0" applyFont="1" applyFill="1" applyBorder="1" applyAlignment="1">
      <alignment horizontal="left" vertical="center"/>
    </xf>
    <xf numFmtId="0" fontId="44" fillId="7" borderId="33" xfId="0" applyFont="1" applyFill="1" applyBorder="1" applyAlignment="1">
      <alignment horizontal="left" vertical="center"/>
    </xf>
    <xf numFmtId="0" fontId="44" fillId="7" borderId="35" xfId="0" applyFont="1" applyFill="1" applyBorder="1" applyAlignment="1">
      <alignment horizontal="left" vertical="center"/>
    </xf>
    <xf numFmtId="38" fontId="44" fillId="7" borderId="32" xfId="0" applyNumberFormat="1" applyFont="1" applyFill="1" applyBorder="1" applyAlignment="1">
      <alignment horizontal="right" vertical="center"/>
    </xf>
    <xf numFmtId="0" fontId="44" fillId="7" borderId="34" xfId="0" applyFont="1" applyFill="1" applyBorder="1" applyAlignment="1">
      <alignment horizontal="right" vertical="center"/>
    </xf>
    <xf numFmtId="38" fontId="44" fillId="7" borderId="22" xfId="0" applyNumberFormat="1" applyFont="1" applyFill="1" applyBorder="1" applyAlignment="1">
      <alignment horizontal="right" vertical="center"/>
    </xf>
    <xf numFmtId="0" fontId="44" fillId="7" borderId="22" xfId="0" applyFont="1" applyFill="1" applyBorder="1" applyAlignment="1">
      <alignment horizontal="right" vertical="center"/>
    </xf>
    <xf numFmtId="38" fontId="44" fillId="7" borderId="23" xfId="0" applyNumberFormat="1" applyFont="1" applyFill="1" applyBorder="1" applyAlignment="1">
      <alignment horizontal="right" vertical="center"/>
    </xf>
    <xf numFmtId="38" fontId="44" fillId="7" borderId="61" xfId="0" applyNumberFormat="1" applyFont="1" applyFill="1" applyBorder="1" applyAlignment="1">
      <alignment horizontal="right" vertical="center"/>
    </xf>
    <xf numFmtId="38" fontId="44" fillId="7" borderId="64" xfId="0" applyNumberFormat="1" applyFont="1" applyFill="1" applyBorder="1" applyAlignment="1">
      <alignment horizontal="right" vertical="center"/>
    </xf>
    <xf numFmtId="0" fontId="44" fillId="7" borderId="35" xfId="0" applyFont="1" applyFill="1" applyBorder="1" applyAlignment="1">
      <alignment horizontal="right" vertical="center"/>
    </xf>
    <xf numFmtId="0" fontId="44" fillId="7" borderId="10" xfId="0" applyFont="1" applyFill="1" applyBorder="1" applyAlignment="1">
      <alignment horizontal="left" vertical="center"/>
    </xf>
    <xf numFmtId="0" fontId="44" fillId="7" borderId="11" xfId="0" applyFont="1" applyFill="1" applyBorder="1" applyAlignment="1">
      <alignment horizontal="left" vertical="center"/>
    </xf>
    <xf numFmtId="0" fontId="44" fillId="7" borderId="12" xfId="0" applyFont="1" applyFill="1" applyBorder="1" applyAlignment="1">
      <alignment horizontal="left" vertical="center"/>
    </xf>
    <xf numFmtId="38" fontId="44" fillId="7" borderId="10" xfId="0" applyNumberFormat="1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38" fontId="44" fillId="7" borderId="11" xfId="0" applyNumberFormat="1" applyFont="1" applyFill="1" applyBorder="1" applyAlignment="1">
      <alignment horizontal="center" vertical="center"/>
    </xf>
    <xf numFmtId="0" fontId="44" fillId="7" borderId="12" xfId="0" applyFont="1" applyFill="1" applyBorder="1" applyAlignment="1">
      <alignment horizontal="center" vertical="center"/>
    </xf>
    <xf numFmtId="38" fontId="44" fillId="7" borderId="66" xfId="0" applyNumberFormat="1" applyFont="1" applyFill="1" applyBorder="1" applyAlignment="1">
      <alignment horizontal="center" vertical="center"/>
    </xf>
    <xf numFmtId="0" fontId="44" fillId="7" borderId="7" xfId="0" applyFont="1" applyFill="1" applyBorder="1" applyAlignment="1">
      <alignment horizontal="center" vertical="center"/>
    </xf>
    <xf numFmtId="0" fontId="44" fillId="7" borderId="8" xfId="0" applyFont="1" applyFill="1" applyBorder="1" applyAlignment="1">
      <alignment horizontal="center" vertical="center"/>
    </xf>
    <xf numFmtId="0" fontId="44" fillId="7" borderId="9" xfId="0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center" vertical="center"/>
    </xf>
    <xf numFmtId="0" fontId="44" fillId="7" borderId="22" xfId="0" applyFont="1" applyFill="1" applyBorder="1" applyAlignment="1">
      <alignment horizontal="center" vertical="center"/>
    </xf>
    <xf numFmtId="0" fontId="44" fillId="7" borderId="23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4" fillId="7" borderId="63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44" fillId="7" borderId="65" xfId="0" applyFont="1" applyFill="1" applyBorder="1" applyAlignment="1">
      <alignment horizontal="center" vertical="center"/>
    </xf>
    <xf numFmtId="0" fontId="44" fillId="7" borderId="24" xfId="0" applyFont="1" applyFill="1" applyBorder="1" applyAlignment="1">
      <alignment horizontal="center" vertical="center"/>
    </xf>
    <xf numFmtId="0" fontId="44" fillId="7" borderId="60" xfId="0" applyFont="1" applyFill="1" applyBorder="1" applyAlignment="1">
      <alignment horizontal="center" vertical="center"/>
    </xf>
    <xf numFmtId="0" fontId="44" fillId="7" borderId="46" xfId="0" applyFont="1" applyFill="1" applyBorder="1" applyAlignment="1">
      <alignment horizontal="center" vertical="center"/>
    </xf>
    <xf numFmtId="0" fontId="44" fillId="7" borderId="61" xfId="0" applyFont="1" applyFill="1" applyBorder="1" applyAlignment="1">
      <alignment horizontal="center" vertical="center"/>
    </xf>
    <xf numFmtId="0" fontId="77" fillId="7" borderId="18" xfId="0" applyFont="1" applyFill="1" applyBorder="1" applyAlignment="1">
      <alignment horizontal="left" vertical="center"/>
    </xf>
    <xf numFmtId="0" fontId="44" fillId="7" borderId="19" xfId="0" applyFont="1" applyFill="1" applyBorder="1" applyAlignment="1">
      <alignment horizontal="left" vertical="center"/>
    </xf>
    <xf numFmtId="0" fontId="44" fillId="7" borderId="20" xfId="0" applyFont="1" applyFill="1" applyBorder="1" applyAlignment="1">
      <alignment horizontal="left" vertical="center"/>
    </xf>
    <xf numFmtId="38" fontId="44" fillId="7" borderId="18" xfId="0" applyNumberFormat="1" applyFont="1" applyFill="1" applyBorder="1" applyAlignment="1">
      <alignment horizontal="right" vertical="center"/>
    </xf>
    <xf numFmtId="0" fontId="44" fillId="7" borderId="55" xfId="0" applyFont="1" applyFill="1" applyBorder="1" applyAlignment="1">
      <alignment horizontal="right" vertical="center"/>
    </xf>
    <xf numFmtId="38" fontId="44" fillId="7" borderId="8" xfId="0" applyNumberFormat="1" applyFont="1" applyFill="1" applyBorder="1" applyAlignment="1">
      <alignment horizontal="right" vertical="center"/>
    </xf>
    <xf numFmtId="0" fontId="44" fillId="7" borderId="8" xfId="0" applyFont="1" applyFill="1" applyBorder="1" applyAlignment="1">
      <alignment horizontal="right" vertical="center"/>
    </xf>
    <xf numFmtId="38" fontId="44" fillId="7" borderId="9" xfId="0" applyNumberFormat="1" applyFont="1" applyFill="1" applyBorder="1" applyAlignment="1">
      <alignment horizontal="right" vertical="center"/>
    </xf>
    <xf numFmtId="38" fontId="44" fillId="7" borderId="76" xfId="0" applyNumberFormat="1" applyFont="1" applyFill="1" applyBorder="1" applyAlignment="1">
      <alignment horizontal="right" vertical="center"/>
    </xf>
    <xf numFmtId="38" fontId="44" fillId="7" borderId="5" xfId="0" applyNumberFormat="1" applyFont="1" applyFill="1" applyBorder="1" applyAlignment="1">
      <alignment horizontal="right" vertical="center"/>
    </xf>
    <xf numFmtId="0" fontId="44" fillId="7" borderId="20" xfId="0" applyFont="1" applyFill="1" applyBorder="1" applyAlignment="1">
      <alignment horizontal="right" vertical="center"/>
    </xf>
    <xf numFmtId="0" fontId="74" fillId="9" borderId="50" xfId="0" applyFont="1" applyFill="1" applyBorder="1" applyAlignment="1">
      <alignment horizontal="center" vertical="center"/>
    </xf>
    <xf numFmtId="0" fontId="44" fillId="9" borderId="41" xfId="0" applyFont="1" applyFill="1" applyBorder="1" applyAlignment="1">
      <alignment horizontal="center" vertical="center" textRotation="255"/>
    </xf>
    <xf numFmtId="0" fontId="44" fillId="9" borderId="43" xfId="0" applyFont="1" applyFill="1" applyBorder="1" applyAlignment="1">
      <alignment horizontal="center" vertical="center" textRotation="255"/>
    </xf>
    <xf numFmtId="0" fontId="44" fillId="9" borderId="48" xfId="0" applyFont="1" applyFill="1" applyBorder="1" applyAlignment="1">
      <alignment horizontal="center" vertical="center" textRotation="255"/>
    </xf>
    <xf numFmtId="0" fontId="52" fillId="4" borderId="50" xfId="0" applyFont="1" applyFill="1" applyBorder="1" applyAlignment="1">
      <alignment horizontal="center" vertical="center"/>
    </xf>
    <xf numFmtId="0" fontId="52" fillId="4" borderId="51" xfId="0" applyFont="1" applyFill="1" applyBorder="1" applyAlignment="1">
      <alignment horizontal="center" vertical="center"/>
    </xf>
    <xf numFmtId="0" fontId="52" fillId="4" borderId="59" xfId="0" applyFont="1" applyFill="1" applyBorder="1" applyAlignment="1">
      <alignment horizontal="center" vertical="center"/>
    </xf>
    <xf numFmtId="0" fontId="44" fillId="16" borderId="36" xfId="0" applyFont="1" applyFill="1" applyBorder="1" applyAlignment="1">
      <alignment horizontal="left" vertical="center"/>
    </xf>
    <xf numFmtId="0" fontId="44" fillId="16" borderId="37" xfId="0" applyFont="1" applyFill="1" applyBorder="1" applyAlignment="1">
      <alignment horizontal="left" vertical="center"/>
    </xf>
    <xf numFmtId="0" fontId="44" fillId="16" borderId="39" xfId="0" applyFont="1" applyFill="1" applyBorder="1" applyAlignment="1">
      <alignment horizontal="left" vertical="center"/>
    </xf>
    <xf numFmtId="38" fontId="44" fillId="16" borderId="51" xfId="0" applyNumberFormat="1" applyFont="1" applyFill="1" applyBorder="1" applyAlignment="1">
      <alignment horizontal="center" vertical="center"/>
    </xf>
    <xf numFmtId="0" fontId="44" fillId="16" borderId="51" xfId="0" applyFont="1" applyFill="1" applyBorder="1" applyAlignment="1">
      <alignment horizontal="center" vertical="center"/>
    </xf>
    <xf numFmtId="38" fontId="44" fillId="16" borderId="50" xfId="0" applyNumberFormat="1" applyFont="1" applyFill="1" applyBorder="1" applyAlignment="1">
      <alignment horizontal="center" vertical="center"/>
    </xf>
    <xf numFmtId="0" fontId="44" fillId="16" borderId="59" xfId="0" applyFont="1" applyFill="1" applyBorder="1" applyAlignment="1">
      <alignment horizontal="center" vertical="center"/>
    </xf>
    <xf numFmtId="0" fontId="44" fillId="5" borderId="7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44" fillId="5" borderId="9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4" fillId="5" borderId="22" xfId="0" applyFont="1" applyFill="1" applyBorder="1" applyAlignment="1">
      <alignment horizontal="center" vertical="center"/>
    </xf>
    <xf numFmtId="0" fontId="44" fillId="5" borderId="23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63" xfId="0" applyFont="1" applyFill="1" applyBorder="1" applyAlignment="1">
      <alignment horizontal="center" vertical="center"/>
    </xf>
    <xf numFmtId="0" fontId="44" fillId="5" borderId="13" xfId="0" applyFont="1" applyFill="1" applyBorder="1" applyAlignment="1">
      <alignment horizontal="center" vertical="center"/>
    </xf>
    <xf numFmtId="0" fontId="44" fillId="5" borderId="65" xfId="0" applyFont="1" applyFill="1" applyBorder="1" applyAlignment="1">
      <alignment horizontal="center" vertical="center"/>
    </xf>
    <xf numFmtId="0" fontId="44" fillId="5" borderId="24" xfId="0" applyFont="1" applyFill="1" applyBorder="1" applyAlignment="1">
      <alignment horizontal="center" vertical="center"/>
    </xf>
    <xf numFmtId="0" fontId="44" fillId="5" borderId="60" xfId="0" applyFont="1" applyFill="1" applyBorder="1" applyAlignment="1">
      <alignment horizontal="center" vertical="center"/>
    </xf>
    <xf numFmtId="0" fontId="44" fillId="5" borderId="46" xfId="0" applyFont="1" applyFill="1" applyBorder="1" applyAlignment="1">
      <alignment horizontal="center" vertical="center"/>
    </xf>
    <xf numFmtId="0" fontId="44" fillId="5" borderId="61" xfId="0" applyFont="1" applyFill="1" applyBorder="1" applyAlignment="1">
      <alignment horizontal="center" vertical="center"/>
    </xf>
    <xf numFmtId="0" fontId="77" fillId="16" borderId="18" xfId="0" applyFont="1" applyFill="1" applyBorder="1" applyAlignment="1">
      <alignment horizontal="left" vertical="center"/>
    </xf>
    <xf numFmtId="0" fontId="44" fillId="16" borderId="19" xfId="0" applyFont="1" applyFill="1" applyBorder="1" applyAlignment="1">
      <alignment horizontal="left" vertical="center"/>
    </xf>
    <xf numFmtId="0" fontId="44" fillId="16" borderId="20" xfId="0" applyFont="1" applyFill="1" applyBorder="1" applyAlignment="1">
      <alignment horizontal="left" vertical="center"/>
    </xf>
    <xf numFmtId="38" fontId="44" fillId="16" borderId="18" xfId="0" applyNumberFormat="1" applyFont="1" applyFill="1" applyBorder="1" applyAlignment="1">
      <alignment horizontal="right" vertical="center"/>
    </xf>
    <xf numFmtId="0" fontId="44" fillId="16" borderId="55" xfId="0" applyFont="1" applyFill="1" applyBorder="1" applyAlignment="1">
      <alignment horizontal="right" vertical="center"/>
    </xf>
    <xf numFmtId="38" fontId="44" fillId="16" borderId="8" xfId="0" applyNumberFormat="1" applyFont="1" applyFill="1" applyBorder="1" applyAlignment="1">
      <alignment horizontal="right" vertical="center"/>
    </xf>
    <xf numFmtId="0" fontId="44" fillId="16" borderId="8" xfId="0" applyFont="1" applyFill="1" applyBorder="1" applyAlignment="1">
      <alignment horizontal="right" vertical="center"/>
    </xf>
    <xf numFmtId="0" fontId="74" fillId="0" borderId="2" xfId="0" applyFont="1" applyBorder="1" applyAlignment="1">
      <alignment horizontal="left" vertical="center"/>
    </xf>
    <xf numFmtId="0" fontId="74" fillId="0" borderId="3" xfId="0" applyFont="1" applyBorder="1" applyAlignment="1">
      <alignment horizontal="left" vertical="center"/>
    </xf>
    <xf numFmtId="0" fontId="74" fillId="0" borderId="4" xfId="0" applyFont="1" applyBorder="1" applyAlignment="1">
      <alignment horizontal="left" vertical="center"/>
    </xf>
    <xf numFmtId="0" fontId="44" fillId="5" borderId="10" xfId="0" applyFont="1" applyFill="1" applyBorder="1" applyAlignment="1">
      <alignment horizontal="left" vertical="center"/>
    </xf>
    <xf numFmtId="0" fontId="44" fillId="5" borderId="11" xfId="0" applyFont="1" applyFill="1" applyBorder="1" applyAlignment="1">
      <alignment horizontal="left" vertical="center"/>
    </xf>
    <xf numFmtId="0" fontId="44" fillId="5" borderId="12" xfId="0" applyFont="1" applyFill="1" applyBorder="1" applyAlignment="1">
      <alignment horizontal="left" vertical="center"/>
    </xf>
    <xf numFmtId="38" fontId="44" fillId="5" borderId="10" xfId="0" applyNumberFormat="1" applyFont="1" applyFill="1" applyBorder="1" applyAlignment="1">
      <alignment horizontal="center" vertical="center"/>
    </xf>
    <xf numFmtId="38" fontId="44" fillId="5" borderId="11" xfId="0" applyNumberFormat="1" applyFont="1" applyFill="1" applyBorder="1" applyAlignment="1">
      <alignment horizontal="center" vertical="center"/>
    </xf>
    <xf numFmtId="38" fontId="44" fillId="5" borderId="66" xfId="0" applyNumberFormat="1" applyFont="1" applyFill="1" applyBorder="1" applyAlignment="1">
      <alignment horizontal="center" vertical="center"/>
    </xf>
    <xf numFmtId="0" fontId="44" fillId="5" borderId="36" xfId="0" applyFont="1" applyFill="1" applyBorder="1" applyAlignment="1">
      <alignment horizontal="left" vertical="center"/>
    </xf>
    <xf numFmtId="0" fontId="44" fillId="5" borderId="37" xfId="0" applyFont="1" applyFill="1" applyBorder="1" applyAlignment="1">
      <alignment horizontal="left" vertical="center"/>
    </xf>
    <xf numFmtId="0" fontId="44" fillId="5" borderId="39" xfId="0" applyFont="1" applyFill="1" applyBorder="1" applyAlignment="1">
      <alignment horizontal="left" vertical="center"/>
    </xf>
    <xf numFmtId="38" fontId="44" fillId="5" borderId="51" xfId="0" applyNumberFormat="1" applyFont="1" applyFill="1" applyBorder="1" applyAlignment="1">
      <alignment horizontal="center" vertical="center"/>
    </xf>
    <xf numFmtId="0" fontId="44" fillId="5" borderId="51" xfId="0" applyFont="1" applyFill="1" applyBorder="1" applyAlignment="1">
      <alignment horizontal="center" vertical="center"/>
    </xf>
    <xf numFmtId="38" fontId="44" fillId="5" borderId="50" xfId="0" applyNumberFormat="1" applyFont="1" applyFill="1" applyBorder="1" applyAlignment="1">
      <alignment horizontal="center" vertical="center"/>
    </xf>
    <xf numFmtId="0" fontId="44" fillId="5" borderId="59" xfId="0" applyFont="1" applyFill="1" applyBorder="1" applyAlignment="1">
      <alignment horizontal="center" vertical="center"/>
    </xf>
    <xf numFmtId="0" fontId="77" fillId="5" borderId="18" xfId="0" applyFont="1" applyFill="1" applyBorder="1" applyAlignment="1">
      <alignment horizontal="left" vertical="center"/>
    </xf>
    <xf numFmtId="0" fontId="44" fillId="5" borderId="19" xfId="0" applyFont="1" applyFill="1" applyBorder="1" applyAlignment="1">
      <alignment horizontal="left" vertical="center"/>
    </xf>
    <xf numFmtId="0" fontId="44" fillId="5" borderId="20" xfId="0" applyFont="1" applyFill="1" applyBorder="1" applyAlignment="1">
      <alignment horizontal="left" vertical="center"/>
    </xf>
    <xf numFmtId="38" fontId="44" fillId="5" borderId="18" xfId="0" applyNumberFormat="1" applyFont="1" applyFill="1" applyBorder="1" applyAlignment="1">
      <alignment horizontal="right" vertical="center"/>
    </xf>
    <xf numFmtId="0" fontId="44" fillId="5" borderId="55" xfId="0" applyFont="1" applyFill="1" applyBorder="1" applyAlignment="1">
      <alignment horizontal="right" vertical="center"/>
    </xf>
    <xf numFmtId="38" fontId="44" fillId="5" borderId="8" xfId="0" applyNumberFormat="1" applyFont="1" applyFill="1" applyBorder="1" applyAlignment="1">
      <alignment horizontal="right" vertical="center"/>
    </xf>
    <xf numFmtId="0" fontId="44" fillId="5" borderId="8" xfId="0" applyFont="1" applyFill="1" applyBorder="1" applyAlignment="1">
      <alignment horizontal="right" vertical="center"/>
    </xf>
    <xf numFmtId="38" fontId="44" fillId="5" borderId="9" xfId="0" applyNumberFormat="1" applyFont="1" applyFill="1" applyBorder="1" applyAlignment="1">
      <alignment horizontal="right" vertical="center"/>
    </xf>
    <xf numFmtId="38" fontId="44" fillId="5" borderId="76" xfId="0" applyNumberFormat="1" applyFont="1" applyFill="1" applyBorder="1" applyAlignment="1">
      <alignment horizontal="right" vertical="center"/>
    </xf>
    <xf numFmtId="38" fontId="44" fillId="5" borderId="5" xfId="0" applyNumberFormat="1" applyFont="1" applyFill="1" applyBorder="1" applyAlignment="1">
      <alignment horizontal="right" vertical="center"/>
    </xf>
    <xf numFmtId="0" fontId="44" fillId="5" borderId="20" xfId="0" applyFont="1" applyFill="1" applyBorder="1" applyAlignment="1">
      <alignment horizontal="right" vertical="center"/>
    </xf>
    <xf numFmtId="0" fontId="32" fillId="5" borderId="32" xfId="0" applyFont="1" applyFill="1" applyBorder="1" applyAlignment="1">
      <alignment horizontal="left" vertical="center"/>
    </xf>
    <xf numFmtId="0" fontId="44" fillId="5" borderId="33" xfId="0" applyFont="1" applyFill="1" applyBorder="1" applyAlignment="1">
      <alignment horizontal="left" vertical="center"/>
    </xf>
    <xf numFmtId="0" fontId="44" fillId="5" borderId="35" xfId="0" applyFont="1" applyFill="1" applyBorder="1" applyAlignment="1">
      <alignment horizontal="left" vertical="center"/>
    </xf>
    <xf numFmtId="38" fontId="44" fillId="5" borderId="32" xfId="0" applyNumberFormat="1" applyFont="1" applyFill="1" applyBorder="1" applyAlignment="1">
      <alignment horizontal="right" vertical="center"/>
    </xf>
    <xf numFmtId="0" fontId="44" fillId="5" borderId="34" xfId="0" applyFont="1" applyFill="1" applyBorder="1" applyAlignment="1">
      <alignment horizontal="right" vertical="center"/>
    </xf>
    <xf numFmtId="38" fontId="44" fillId="5" borderId="22" xfId="0" applyNumberFormat="1" applyFont="1" applyFill="1" applyBorder="1" applyAlignment="1">
      <alignment horizontal="right" vertical="center"/>
    </xf>
    <xf numFmtId="0" fontId="44" fillId="5" borderId="22" xfId="0" applyFont="1" applyFill="1" applyBorder="1" applyAlignment="1">
      <alignment horizontal="right" vertical="center"/>
    </xf>
    <xf numFmtId="38" fontId="44" fillId="5" borderId="23" xfId="0" applyNumberFormat="1" applyFont="1" applyFill="1" applyBorder="1" applyAlignment="1">
      <alignment horizontal="right" vertical="center"/>
    </xf>
    <xf numFmtId="38" fontId="44" fillId="5" borderId="61" xfId="0" applyNumberFormat="1" applyFont="1" applyFill="1" applyBorder="1" applyAlignment="1">
      <alignment horizontal="right" vertical="center"/>
    </xf>
    <xf numFmtId="38" fontId="44" fillId="5" borderId="64" xfId="0" applyNumberFormat="1" applyFont="1" applyFill="1" applyBorder="1" applyAlignment="1">
      <alignment horizontal="right" vertical="center"/>
    </xf>
    <xf numFmtId="0" fontId="44" fillId="5" borderId="35" xfId="0" applyFont="1" applyFill="1" applyBorder="1" applyAlignment="1">
      <alignment horizontal="right" vertical="center"/>
    </xf>
    <xf numFmtId="0" fontId="44" fillId="16" borderId="10" xfId="0" applyFont="1" applyFill="1" applyBorder="1" applyAlignment="1">
      <alignment horizontal="left" vertical="center"/>
    </xf>
    <xf numFmtId="0" fontId="44" fillId="16" borderId="11" xfId="0" applyFont="1" applyFill="1" applyBorder="1" applyAlignment="1">
      <alignment horizontal="left" vertical="center"/>
    </xf>
    <xf numFmtId="0" fontId="44" fillId="16" borderId="12" xfId="0" applyFont="1" applyFill="1" applyBorder="1" applyAlignment="1">
      <alignment horizontal="left" vertical="center"/>
    </xf>
    <xf numFmtId="38" fontId="44" fillId="16" borderId="10" xfId="0" applyNumberFormat="1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 vertical="center"/>
    </xf>
    <xf numFmtId="38" fontId="44" fillId="16" borderId="11" xfId="0" applyNumberFormat="1" applyFont="1" applyFill="1" applyBorder="1" applyAlignment="1">
      <alignment horizontal="center" vertical="center"/>
    </xf>
    <xf numFmtId="0" fontId="44" fillId="16" borderId="12" xfId="0" applyFont="1" applyFill="1" applyBorder="1" applyAlignment="1">
      <alignment horizontal="center" vertical="center"/>
    </xf>
    <xf numFmtId="38" fontId="44" fillId="16" borderId="66" xfId="0" applyNumberFormat="1" applyFont="1" applyFill="1" applyBorder="1" applyAlignment="1">
      <alignment horizontal="center" vertical="center"/>
    </xf>
    <xf numFmtId="38" fontId="44" fillId="16" borderId="9" xfId="0" applyNumberFormat="1" applyFont="1" applyFill="1" applyBorder="1" applyAlignment="1">
      <alignment horizontal="right" vertical="center"/>
    </xf>
    <xf numFmtId="38" fontId="44" fillId="16" borderId="76" xfId="0" applyNumberFormat="1" applyFont="1" applyFill="1" applyBorder="1" applyAlignment="1">
      <alignment horizontal="right" vertical="center"/>
    </xf>
    <xf numFmtId="38" fontId="44" fillId="16" borderId="5" xfId="0" applyNumberFormat="1" applyFont="1" applyFill="1" applyBorder="1" applyAlignment="1">
      <alignment horizontal="right" vertical="center"/>
    </xf>
    <xf numFmtId="0" fontId="44" fillId="16" borderId="20" xfId="0" applyFont="1" applyFill="1" applyBorder="1" applyAlignment="1">
      <alignment horizontal="right" vertical="center"/>
    </xf>
    <xf numFmtId="0" fontId="32" fillId="16" borderId="32" xfId="0" applyFont="1" applyFill="1" applyBorder="1" applyAlignment="1">
      <alignment horizontal="left" vertical="center"/>
    </xf>
    <xf numFmtId="0" fontId="44" fillId="16" borderId="33" xfId="0" applyFont="1" applyFill="1" applyBorder="1" applyAlignment="1">
      <alignment horizontal="left" vertical="center"/>
    </xf>
    <xf numFmtId="0" fontId="44" fillId="16" borderId="35" xfId="0" applyFont="1" applyFill="1" applyBorder="1" applyAlignment="1">
      <alignment horizontal="left" vertical="center"/>
    </xf>
    <xf numFmtId="38" fontId="44" fillId="16" borderId="32" xfId="0" applyNumberFormat="1" applyFont="1" applyFill="1" applyBorder="1" applyAlignment="1">
      <alignment horizontal="right" vertical="center"/>
    </xf>
    <xf numFmtId="0" fontId="44" fillId="16" borderId="34" xfId="0" applyFont="1" applyFill="1" applyBorder="1" applyAlignment="1">
      <alignment horizontal="right" vertical="center"/>
    </xf>
    <xf numFmtId="38" fontId="44" fillId="16" borderId="22" xfId="0" applyNumberFormat="1" applyFont="1" applyFill="1" applyBorder="1" applyAlignment="1">
      <alignment horizontal="right" vertical="center"/>
    </xf>
    <xf numFmtId="0" fontId="44" fillId="16" borderId="22" xfId="0" applyFont="1" applyFill="1" applyBorder="1" applyAlignment="1">
      <alignment horizontal="right" vertical="center"/>
    </xf>
    <xf numFmtId="38" fontId="44" fillId="16" borderId="23" xfId="0" applyNumberFormat="1" applyFont="1" applyFill="1" applyBorder="1" applyAlignment="1">
      <alignment horizontal="right" vertical="center"/>
    </xf>
    <xf numFmtId="38" fontId="44" fillId="16" borderId="61" xfId="0" applyNumberFormat="1" applyFont="1" applyFill="1" applyBorder="1" applyAlignment="1">
      <alignment horizontal="right" vertical="center"/>
    </xf>
    <xf numFmtId="38" fontId="44" fillId="16" borderId="64" xfId="0" applyNumberFormat="1" applyFont="1" applyFill="1" applyBorder="1" applyAlignment="1">
      <alignment horizontal="right" vertical="center"/>
    </xf>
    <xf numFmtId="0" fontId="44" fillId="16" borderId="35" xfId="0" applyFont="1" applyFill="1" applyBorder="1" applyAlignment="1">
      <alignment horizontal="right" vertical="center"/>
    </xf>
    <xf numFmtId="0" fontId="44" fillId="16" borderId="7" xfId="0" applyFont="1" applyFill="1" applyBorder="1" applyAlignment="1">
      <alignment horizontal="center" vertical="center"/>
    </xf>
    <xf numFmtId="0" fontId="44" fillId="16" borderId="8" xfId="0" applyFont="1" applyFill="1" applyBorder="1" applyAlignment="1">
      <alignment horizontal="center" vertical="center"/>
    </xf>
    <xf numFmtId="0" fontId="44" fillId="16" borderId="9" xfId="0" applyFont="1" applyFill="1" applyBorder="1" applyAlignment="1">
      <alignment horizontal="center" vertical="center"/>
    </xf>
    <xf numFmtId="0" fontId="44" fillId="16" borderId="21" xfId="0" applyFont="1" applyFill="1" applyBorder="1" applyAlignment="1">
      <alignment horizontal="center" vertical="center"/>
    </xf>
    <xf numFmtId="0" fontId="44" fillId="16" borderId="22" xfId="0" applyFont="1" applyFill="1" applyBorder="1" applyAlignment="1">
      <alignment horizontal="center" vertical="center"/>
    </xf>
    <xf numFmtId="0" fontId="44" fillId="16" borderId="23" xfId="0" applyFont="1" applyFill="1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/>
    </xf>
    <xf numFmtId="0" fontId="44" fillId="16" borderId="63" xfId="0" applyFont="1" applyFill="1" applyBorder="1" applyAlignment="1">
      <alignment horizontal="center" vertical="center"/>
    </xf>
    <xf numFmtId="0" fontId="44" fillId="16" borderId="13" xfId="0" applyFont="1" applyFill="1" applyBorder="1" applyAlignment="1">
      <alignment horizontal="center" vertical="center"/>
    </xf>
    <xf numFmtId="0" fontId="44" fillId="16" borderId="65" xfId="0" applyFont="1" applyFill="1" applyBorder="1" applyAlignment="1">
      <alignment horizontal="center" vertical="center"/>
    </xf>
    <xf numFmtId="0" fontId="44" fillId="16" borderId="24" xfId="0" applyFont="1" applyFill="1" applyBorder="1" applyAlignment="1">
      <alignment horizontal="center" vertical="center"/>
    </xf>
    <xf numFmtId="0" fontId="44" fillId="16" borderId="60" xfId="0" applyFont="1" applyFill="1" applyBorder="1" applyAlignment="1">
      <alignment horizontal="center" vertical="center"/>
    </xf>
    <xf numFmtId="0" fontId="44" fillId="16" borderId="46" xfId="0" applyFont="1" applyFill="1" applyBorder="1" applyAlignment="1">
      <alignment horizontal="center" vertical="center"/>
    </xf>
    <xf numFmtId="0" fontId="44" fillId="16" borderId="61" xfId="0" applyFont="1" applyFill="1" applyBorder="1" applyAlignment="1">
      <alignment horizontal="center" vertical="center"/>
    </xf>
    <xf numFmtId="38" fontId="44" fillId="7" borderId="21" xfId="0" applyNumberFormat="1" applyFont="1" applyFill="1" applyBorder="1" applyAlignment="1">
      <alignment horizontal="right" vertical="center"/>
    </xf>
    <xf numFmtId="38" fontId="44" fillId="7" borderId="56" xfId="0" applyNumberFormat="1" applyFont="1" applyFill="1" applyBorder="1" applyAlignment="1">
      <alignment horizontal="right" vertical="center"/>
    </xf>
    <xf numFmtId="0" fontId="44" fillId="7" borderId="33" xfId="0" applyFont="1" applyFill="1" applyBorder="1" applyAlignment="1">
      <alignment horizontal="right" vertical="center"/>
    </xf>
    <xf numFmtId="38" fontId="44" fillId="7" borderId="7" xfId="0" applyNumberFormat="1" applyFont="1" applyFill="1" applyBorder="1" applyAlignment="1">
      <alignment horizontal="right" vertical="center"/>
    </xf>
    <xf numFmtId="38" fontId="44" fillId="7" borderId="54" xfId="0" applyNumberFormat="1" applyFont="1" applyFill="1" applyBorder="1" applyAlignment="1">
      <alignment horizontal="right" vertical="center"/>
    </xf>
    <xf numFmtId="0" fontId="44" fillId="7" borderId="19" xfId="0" applyFont="1" applyFill="1" applyBorder="1" applyAlignment="1">
      <alignment horizontal="right" vertical="center"/>
    </xf>
    <xf numFmtId="0" fontId="44" fillId="9" borderId="3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/>
    </xf>
    <xf numFmtId="0" fontId="44" fillId="9" borderId="34" xfId="0" applyFont="1" applyFill="1" applyBorder="1" applyAlignment="1">
      <alignment horizontal="center" vertical="center" wrapText="1"/>
    </xf>
    <xf numFmtId="0" fontId="44" fillId="9" borderId="55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4" fillId="9" borderId="1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44" fillId="9" borderId="7" xfId="0" applyFont="1" applyFill="1" applyBorder="1" applyAlignment="1">
      <alignment horizontal="center" vertical="center"/>
    </xf>
    <xf numFmtId="0" fontId="44" fillId="9" borderId="14" xfId="0" applyFont="1" applyFill="1" applyBorder="1" applyAlignment="1">
      <alignment horizontal="center" vertical="center"/>
    </xf>
    <xf numFmtId="0" fontId="44" fillId="9" borderId="21" xfId="0" applyFont="1" applyFill="1" applyBorder="1" applyAlignment="1">
      <alignment horizontal="center" vertical="center"/>
    </xf>
    <xf numFmtId="0" fontId="44" fillId="9" borderId="7" xfId="0" applyFont="1" applyFill="1" applyBorder="1" applyAlignment="1">
      <alignment horizontal="center" vertical="center" wrapText="1"/>
    </xf>
    <xf numFmtId="0" fontId="44" fillId="9" borderId="32" xfId="0" applyFont="1" applyFill="1" applyBorder="1" applyAlignment="1">
      <alignment horizontal="center" vertical="center"/>
    </xf>
    <xf numFmtId="0" fontId="44" fillId="9" borderId="8" xfId="0" applyFont="1" applyFill="1" applyBorder="1" applyAlignment="1">
      <alignment horizontal="center" vertical="center"/>
    </xf>
    <xf numFmtId="0" fontId="44" fillId="9" borderId="1" xfId="0" applyFont="1" applyFill="1" applyBorder="1" applyAlignment="1">
      <alignment horizontal="center" vertical="center"/>
    </xf>
    <xf numFmtId="0" fontId="44" fillId="9" borderId="22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/>
    </xf>
    <xf numFmtId="0" fontId="44" fillId="9" borderId="40" xfId="0" applyFont="1" applyFill="1" applyBorder="1" applyAlignment="1">
      <alignment horizontal="center" vertical="center"/>
    </xf>
    <xf numFmtId="0" fontId="41" fillId="9" borderId="1" xfId="0" applyFont="1" applyFill="1" applyBorder="1" applyAlignment="1">
      <alignment horizontal="center" vertical="center"/>
    </xf>
    <xf numFmtId="0" fontId="59" fillId="9" borderId="35" xfId="0" applyFont="1" applyFill="1" applyBorder="1" applyAlignment="1">
      <alignment horizontal="center" vertical="center" shrinkToFit="1"/>
    </xf>
    <xf numFmtId="0" fontId="59" fillId="9" borderId="20" xfId="0" applyFont="1" applyFill="1" applyBorder="1" applyAlignment="1">
      <alignment horizontal="center" vertical="center" shrinkToFit="1"/>
    </xf>
    <xf numFmtId="0" fontId="44" fillId="9" borderId="54" xfId="0" applyFont="1" applyFill="1" applyBorder="1" applyAlignment="1">
      <alignment horizontal="center" vertical="center" wrapText="1"/>
    </xf>
    <xf numFmtId="0" fontId="44" fillId="9" borderId="4" xfId="0" applyFont="1" applyFill="1" applyBorder="1" applyAlignment="1">
      <alignment horizontal="center" vertical="center"/>
    </xf>
    <xf numFmtId="0" fontId="44" fillId="9" borderId="46" xfId="0" applyFont="1" applyFill="1" applyBorder="1" applyAlignment="1">
      <alignment horizontal="center" vertical="center"/>
    </xf>
    <xf numFmtId="0" fontId="44" fillId="9" borderId="50" xfId="0" applyFont="1" applyFill="1" applyBorder="1" applyAlignment="1">
      <alignment horizontal="center" vertical="center"/>
    </xf>
    <xf numFmtId="0" fontId="44" fillId="9" borderId="51" xfId="0" applyFont="1" applyFill="1" applyBorder="1" applyAlignment="1">
      <alignment horizontal="center" vertical="center"/>
    </xf>
    <xf numFmtId="0" fontId="44" fillId="9" borderId="52" xfId="0" applyFont="1" applyFill="1" applyBorder="1" applyAlignment="1">
      <alignment horizontal="center" vertical="center"/>
    </xf>
    <xf numFmtId="0" fontId="44" fillId="9" borderId="9" xfId="0" applyFont="1" applyFill="1" applyBorder="1" applyAlignment="1">
      <alignment horizontal="center" vertical="center"/>
    </xf>
    <xf numFmtId="0" fontId="44" fillId="9" borderId="10" xfId="0" applyFont="1" applyFill="1" applyBorder="1" applyAlignment="1">
      <alignment horizontal="center" vertical="center"/>
    </xf>
    <xf numFmtId="0" fontId="44" fillId="9" borderId="11" xfId="0" applyFont="1" applyFill="1" applyBorder="1" applyAlignment="1">
      <alignment horizontal="center" vertical="center"/>
    </xf>
    <xf numFmtId="0" fontId="44" fillId="9" borderId="12" xfId="0" applyFont="1" applyFill="1" applyBorder="1" applyAlignment="1">
      <alignment horizontal="center" vertical="center"/>
    </xf>
    <xf numFmtId="0" fontId="44" fillId="9" borderId="63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horizontal="center" vertical="center"/>
    </xf>
    <xf numFmtId="0" fontId="44" fillId="9" borderId="15" xfId="0" applyFont="1" applyFill="1" applyBorder="1" applyAlignment="1">
      <alignment horizontal="center" vertical="center"/>
    </xf>
    <xf numFmtId="0" fontId="44" fillId="9" borderId="16" xfId="0" applyFont="1" applyFill="1" applyBorder="1" applyAlignment="1">
      <alignment horizontal="center" vertical="center"/>
    </xf>
    <xf numFmtId="0" fontId="44" fillId="9" borderId="33" xfId="0" applyFont="1" applyFill="1" applyBorder="1" applyAlignment="1">
      <alignment horizontal="center" vertical="center"/>
    </xf>
    <xf numFmtId="38" fontId="44" fillId="0" borderId="19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38" fontId="44" fillId="0" borderId="18" xfId="0" applyNumberFormat="1" applyFont="1" applyBorder="1" applyAlignment="1">
      <alignment horizontal="right" vertical="center"/>
    </xf>
    <xf numFmtId="38" fontId="44" fillId="0" borderId="5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9" borderId="102" xfId="0" applyFont="1" applyFill="1" applyBorder="1" applyAlignment="1">
      <alignment horizontal="right" vertical="center"/>
    </xf>
    <xf numFmtId="0" fontId="44" fillId="9" borderId="64" xfId="0" applyFont="1" applyFill="1" applyBorder="1" applyAlignment="1">
      <alignment horizontal="right" vertical="center"/>
    </xf>
    <xf numFmtId="0" fontId="44" fillId="9" borderId="56" xfId="0" applyFont="1" applyFill="1" applyBorder="1" applyAlignment="1">
      <alignment horizontal="right" vertical="center"/>
    </xf>
    <xf numFmtId="38" fontId="44" fillId="0" borderId="55" xfId="0" applyNumberFormat="1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185" fontId="44" fillId="0" borderId="8" xfId="1" applyNumberFormat="1" applyFont="1" applyBorder="1" applyAlignment="1">
      <alignment horizontal="right" vertical="center"/>
    </xf>
    <xf numFmtId="185" fontId="44" fillId="0" borderId="9" xfId="1" applyNumberFormat="1" applyFont="1" applyBorder="1" applyAlignment="1">
      <alignment horizontal="right" vertical="center"/>
    </xf>
    <xf numFmtId="185" fontId="44" fillId="0" borderId="13" xfId="1" applyNumberFormat="1" applyFont="1" applyBorder="1" applyAlignment="1">
      <alignment horizontal="right" vertical="center"/>
    </xf>
    <xf numFmtId="185" fontId="44" fillId="0" borderId="1" xfId="1" applyNumberFormat="1" applyFont="1" applyBorder="1" applyAlignment="1">
      <alignment horizontal="right" vertical="center"/>
    </xf>
    <xf numFmtId="185" fontId="44" fillId="0" borderId="2" xfId="1" applyNumberFormat="1" applyFont="1" applyBorder="1" applyAlignment="1">
      <alignment horizontal="right" vertical="center"/>
    </xf>
    <xf numFmtId="185" fontId="44" fillId="0" borderId="17" xfId="1" applyNumberFormat="1" applyFont="1" applyBorder="1" applyAlignment="1">
      <alignment horizontal="right" vertical="center"/>
    </xf>
    <xf numFmtId="0" fontId="44" fillId="0" borderId="2" xfId="0" applyFont="1" applyBorder="1" applyAlignment="1">
      <alignment horizontal="left" vertical="center" indent="1"/>
    </xf>
    <xf numFmtId="0" fontId="44" fillId="0" borderId="3" xfId="0" applyFont="1" applyBorder="1" applyAlignment="1">
      <alignment horizontal="left" vertical="center" indent="1"/>
    </xf>
    <xf numFmtId="0" fontId="44" fillId="0" borderId="4" xfId="0" applyFont="1" applyBorder="1" applyAlignment="1">
      <alignment horizontal="left" vertical="center" indent="1"/>
    </xf>
    <xf numFmtId="0" fontId="44" fillId="9" borderId="3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left" vertical="center" indent="1"/>
    </xf>
    <xf numFmtId="0" fontId="44" fillId="0" borderId="55" xfId="0" applyFont="1" applyBorder="1" applyAlignment="1">
      <alignment horizontal="left" vertical="center" indent="1"/>
    </xf>
    <xf numFmtId="0" fontId="44" fillId="0" borderId="5" xfId="0" applyFont="1" applyBorder="1" applyAlignment="1">
      <alignment horizontal="left" vertical="center" indent="1"/>
    </xf>
    <xf numFmtId="0" fontId="44" fillId="0" borderId="36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38" fontId="44" fillId="0" borderId="50" xfId="0" applyNumberFormat="1" applyFont="1" applyBorder="1" applyAlignment="1">
      <alignment horizontal="center" vertical="center"/>
    </xf>
    <xf numFmtId="38" fontId="44" fillId="0" borderId="51" xfId="0" applyNumberFormat="1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38" fontId="44" fillId="0" borderId="33" xfId="0" applyNumberFormat="1" applyFont="1" applyBorder="1" applyAlignment="1">
      <alignment horizontal="right" vertical="center"/>
    </xf>
    <xf numFmtId="0" fontId="44" fillId="0" borderId="35" xfId="0" applyFont="1" applyBorder="1" applyAlignment="1">
      <alignment horizontal="right" vertical="center"/>
    </xf>
    <xf numFmtId="38" fontId="44" fillId="0" borderId="32" xfId="0" applyNumberFormat="1" applyFont="1" applyBorder="1" applyAlignment="1">
      <alignment horizontal="right" vertical="center"/>
    </xf>
    <xf numFmtId="38" fontId="44" fillId="0" borderId="64" xfId="0" applyNumberFormat="1" applyFont="1" applyBorder="1" applyAlignment="1">
      <alignment horizontal="right" vertical="center"/>
    </xf>
    <xf numFmtId="38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38" fontId="44" fillId="0" borderId="66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35" xfId="0" applyFont="1" applyBorder="1" applyAlignment="1">
      <alignment horizontal="left" vertical="center"/>
    </xf>
    <xf numFmtId="0" fontId="44" fillId="0" borderId="33" xfId="0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65" xfId="0" applyFont="1" applyBorder="1" applyAlignment="1">
      <alignment vertical="center"/>
    </xf>
    <xf numFmtId="0" fontId="44" fillId="0" borderId="46" xfId="0" applyFont="1" applyBorder="1" applyAlignment="1">
      <alignment vertical="center"/>
    </xf>
    <xf numFmtId="0" fontId="44" fillId="0" borderId="23" xfId="0" applyFont="1" applyBorder="1" applyAlignment="1">
      <alignment horizontal="left" vertical="center" shrinkToFit="1"/>
    </xf>
    <xf numFmtId="0" fontId="44" fillId="0" borderId="65" xfId="0" applyFont="1" applyBorder="1" applyAlignment="1">
      <alignment horizontal="left" vertical="center" shrinkToFit="1"/>
    </xf>
    <xf numFmtId="0" fontId="44" fillId="0" borderId="46" xfId="0" applyFont="1" applyBorder="1" applyAlignment="1">
      <alignment horizontal="left" vertical="center" shrinkToFit="1"/>
    </xf>
    <xf numFmtId="0" fontId="44" fillId="0" borderId="2" xfId="0" applyFont="1" applyBorder="1" applyAlignment="1">
      <alignment horizontal="left" vertical="center" shrinkToFit="1"/>
    </xf>
    <xf numFmtId="0" fontId="44" fillId="0" borderId="3" xfId="0" applyFont="1" applyBorder="1" applyAlignment="1">
      <alignment horizontal="left" vertical="center" shrinkToFit="1"/>
    </xf>
    <xf numFmtId="0" fontId="44" fillId="0" borderId="4" xfId="0" applyFont="1" applyBorder="1" applyAlignment="1">
      <alignment horizontal="left" vertical="center" shrinkToFit="1"/>
    </xf>
    <xf numFmtId="0" fontId="44" fillId="9" borderId="43" xfId="0" applyFont="1" applyFill="1" applyBorder="1" applyAlignment="1">
      <alignment horizontal="right" vertical="center"/>
    </xf>
    <xf numFmtId="0" fontId="44" fillId="9" borderId="0" xfId="0" applyFont="1" applyFill="1" applyBorder="1" applyAlignment="1">
      <alignment horizontal="right" vertical="center"/>
    </xf>
    <xf numFmtId="0" fontId="44" fillId="9" borderId="62" xfId="0" applyFont="1" applyFill="1" applyBorder="1" applyAlignment="1">
      <alignment horizontal="right" vertical="center"/>
    </xf>
    <xf numFmtId="0" fontId="44" fillId="9" borderId="86" xfId="0" applyFont="1" applyFill="1" applyBorder="1" applyAlignment="1">
      <alignment horizontal="center" vertical="center"/>
    </xf>
    <xf numFmtId="0" fontId="44" fillId="9" borderId="5" xfId="0" applyFont="1" applyFill="1" applyBorder="1" applyAlignment="1">
      <alignment horizontal="center" vertical="center"/>
    </xf>
    <xf numFmtId="0" fontId="44" fillId="9" borderId="54" xfId="0" applyFont="1" applyFill="1" applyBorder="1" applyAlignment="1">
      <alignment horizontal="center" vertical="center"/>
    </xf>
    <xf numFmtId="0" fontId="41" fillId="9" borderId="2" xfId="0" applyFont="1" applyFill="1" applyBorder="1" applyAlignment="1">
      <alignment horizontal="center" vertical="center" shrinkToFit="1"/>
    </xf>
    <xf numFmtId="0" fontId="41" fillId="9" borderId="3" xfId="0" applyFont="1" applyFill="1" applyBorder="1" applyAlignment="1">
      <alignment horizontal="center" vertical="center" shrinkToFit="1"/>
    </xf>
    <xf numFmtId="0" fontId="41" fillId="9" borderId="4" xfId="0" applyFont="1" applyFill="1" applyBorder="1" applyAlignment="1">
      <alignment horizontal="center" vertical="center" shrinkToFit="1"/>
    </xf>
    <xf numFmtId="38" fontId="44" fillId="9" borderId="2" xfId="0" applyNumberFormat="1" applyFont="1" applyFill="1" applyBorder="1" applyAlignment="1">
      <alignment horizontal="center" vertical="center"/>
    </xf>
    <xf numFmtId="38" fontId="44" fillId="9" borderId="3" xfId="0" applyNumberFormat="1" applyFont="1" applyFill="1" applyBorder="1" applyAlignment="1">
      <alignment horizontal="center" vertical="center"/>
    </xf>
    <xf numFmtId="38" fontId="44" fillId="9" borderId="5" xfId="0" applyNumberFormat="1" applyFont="1" applyFill="1" applyBorder="1" applyAlignment="1">
      <alignment horizontal="center" vertical="center"/>
    </xf>
    <xf numFmtId="38" fontId="44" fillId="9" borderId="0" xfId="0" applyNumberFormat="1" applyFont="1" applyFill="1" applyBorder="1" applyAlignment="1">
      <alignment horizontal="center" vertical="center"/>
    </xf>
    <xf numFmtId="38" fontId="44" fillId="9" borderId="44" xfId="0" applyNumberFormat="1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1" fillId="9" borderId="14" xfId="0" applyFont="1" applyFill="1" applyBorder="1" applyAlignment="1">
      <alignment horizontal="center" vertical="center" shrinkToFit="1"/>
    </xf>
    <xf numFmtId="0" fontId="41" fillId="9" borderId="1" xfId="0" applyFont="1" applyFill="1" applyBorder="1" applyAlignment="1">
      <alignment horizontal="center" vertical="center" shrinkToFit="1"/>
    </xf>
    <xf numFmtId="186" fontId="44" fillId="0" borderId="37" xfId="1" applyNumberFormat="1" applyFont="1" applyBorder="1" applyAlignment="1">
      <alignment horizontal="right" vertical="center"/>
    </xf>
    <xf numFmtId="186" fontId="44" fillId="0" borderId="38" xfId="1" applyNumberFormat="1" applyFont="1" applyBorder="1" applyAlignment="1">
      <alignment horizontal="right" vertical="center"/>
    </xf>
    <xf numFmtId="186" fontId="44" fillId="0" borderId="39" xfId="1" applyNumberFormat="1" applyFont="1" applyBorder="1" applyAlignment="1">
      <alignment horizontal="right" vertical="center"/>
    </xf>
    <xf numFmtId="183" fontId="44" fillId="0" borderId="8" xfId="0" applyNumberFormat="1" applyFont="1" applyFill="1" applyBorder="1" applyAlignment="1" applyProtection="1">
      <alignment horizontal="center" vertical="center"/>
      <protection locked="0"/>
    </xf>
    <xf numFmtId="183" fontId="44" fillId="0" borderId="9" xfId="0" applyNumberFormat="1" applyFont="1" applyFill="1" applyBorder="1" applyAlignment="1" applyProtection="1">
      <alignment horizontal="center" vertical="center"/>
      <protection locked="0"/>
    </xf>
    <xf numFmtId="183" fontId="44" fillId="0" borderId="13" xfId="0" applyNumberFormat="1" applyFont="1" applyFill="1" applyBorder="1" applyAlignment="1" applyProtection="1">
      <alignment horizontal="center" vertical="center"/>
      <protection locked="0"/>
    </xf>
    <xf numFmtId="184" fontId="44" fillId="0" borderId="33" xfId="1" applyNumberFormat="1" applyFont="1" applyBorder="1" applyAlignment="1">
      <alignment horizontal="right" vertical="center"/>
    </xf>
    <xf numFmtId="184" fontId="44" fillId="0" borderId="34" xfId="1" applyNumberFormat="1" applyFont="1" applyBorder="1" applyAlignment="1">
      <alignment horizontal="right" vertical="center"/>
    </xf>
    <xf numFmtId="184" fontId="44" fillId="0" borderId="35" xfId="1" applyNumberFormat="1" applyFont="1" applyBorder="1" applyAlignment="1">
      <alignment horizontal="right" vertical="center"/>
    </xf>
    <xf numFmtId="0" fontId="44" fillId="0" borderId="88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40" fontId="44" fillId="0" borderId="2" xfId="1" applyNumberFormat="1" applyFont="1" applyBorder="1" applyAlignment="1">
      <alignment horizontal="right" vertical="center"/>
    </xf>
    <xf numFmtId="40" fontId="44" fillId="0" borderId="3" xfId="1" applyNumberFormat="1" applyFont="1" applyBorder="1" applyAlignment="1">
      <alignment horizontal="right" vertical="center"/>
    </xf>
    <xf numFmtId="40" fontId="44" fillId="0" borderId="23" xfId="1" applyNumberFormat="1" applyFont="1" applyBorder="1" applyAlignment="1">
      <alignment horizontal="right" vertical="center"/>
    </xf>
    <xf numFmtId="40" fontId="44" fillId="0" borderId="65" xfId="1" applyNumberFormat="1" applyFont="1" applyBorder="1" applyAlignment="1">
      <alignment horizontal="right" vertical="center"/>
    </xf>
    <xf numFmtId="0" fontId="44" fillId="9" borderId="15" xfId="0" applyFont="1" applyFill="1" applyBorder="1" applyAlignment="1">
      <alignment horizontal="right" vertical="center"/>
    </xf>
    <xf numFmtId="0" fontId="44" fillId="9" borderId="3" xfId="0" applyFont="1" applyFill="1" applyBorder="1" applyAlignment="1">
      <alignment horizontal="right" vertical="center"/>
    </xf>
    <xf numFmtId="0" fontId="44" fillId="9" borderId="4" xfId="0" applyFont="1" applyFill="1" applyBorder="1" applyAlignment="1">
      <alignment horizontal="right" vertical="center"/>
    </xf>
    <xf numFmtId="0" fontId="44" fillId="9" borderId="88" xfId="0" applyFont="1" applyFill="1" applyBorder="1" applyAlignment="1">
      <alignment horizontal="right" vertical="center"/>
    </xf>
    <xf numFmtId="0" fontId="44" fillId="9" borderId="63" xfId="0" applyFont="1" applyFill="1" applyBorder="1" applyAlignment="1">
      <alignment horizontal="right" vertical="center"/>
    </xf>
    <xf numFmtId="0" fontId="44" fillId="9" borderId="40" xfId="0" applyFont="1" applyFill="1" applyBorder="1" applyAlignment="1">
      <alignment horizontal="right" vertical="center"/>
    </xf>
    <xf numFmtId="0" fontId="44" fillId="0" borderId="19" xfId="0" applyFont="1" applyBorder="1" applyAlignment="1">
      <alignment horizontal="center" vertical="center" shrinkToFit="1"/>
    </xf>
    <xf numFmtId="0" fontId="44" fillId="0" borderId="55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35" fillId="3" borderId="50" xfId="10" applyFont="1" applyFill="1" applyBorder="1" applyAlignment="1" applyProtection="1">
      <alignment horizontal="center" vertical="center" justifyLastLine="1"/>
      <protection hidden="1"/>
    </xf>
    <xf numFmtId="0" fontId="35" fillId="3" borderId="51" xfId="10" applyFont="1" applyFill="1" applyBorder="1" applyAlignment="1" applyProtection="1">
      <alignment horizontal="center" vertical="center" justifyLastLine="1"/>
      <protection hidden="1"/>
    </xf>
    <xf numFmtId="0" fontId="35" fillId="3" borderId="52" xfId="10" applyFont="1" applyFill="1" applyBorder="1" applyAlignment="1" applyProtection="1">
      <alignment horizontal="center" vertical="center" justifyLastLine="1"/>
      <protection hidden="1"/>
    </xf>
    <xf numFmtId="192" fontId="35" fillId="12" borderId="94" xfId="10" applyNumberFormat="1" applyFont="1" applyFill="1" applyBorder="1" applyAlignment="1" applyProtection="1">
      <alignment horizontal="center" vertical="center"/>
      <protection hidden="1"/>
    </xf>
    <xf numFmtId="192" fontId="35" fillId="12" borderId="95" xfId="10" applyNumberFormat="1" applyFont="1" applyFill="1" applyBorder="1" applyAlignment="1" applyProtection="1">
      <alignment horizontal="center" vertical="center"/>
      <protection hidden="1"/>
    </xf>
    <xf numFmtId="0" fontId="37" fillId="13" borderId="58" xfId="6" applyFont="1" applyFill="1" applyBorder="1" applyAlignment="1" applyProtection="1">
      <alignment horizontal="center" vertical="center" wrapText="1"/>
      <protection hidden="1"/>
    </xf>
    <xf numFmtId="0" fontId="37" fillId="13" borderId="106" xfId="6" applyFont="1" applyFill="1" applyBorder="1" applyAlignment="1" applyProtection="1">
      <alignment horizontal="center" vertical="center" wrapText="1"/>
      <protection hidden="1"/>
    </xf>
    <xf numFmtId="0" fontId="85" fillId="3" borderId="88" xfId="6" applyFont="1" applyFill="1" applyBorder="1" applyAlignment="1" applyProtection="1">
      <alignment horizontal="center" vertical="center" wrapText="1"/>
      <protection hidden="1"/>
    </xf>
    <xf numFmtId="0" fontId="85" fillId="3" borderId="63" xfId="6" applyFont="1" applyFill="1" applyBorder="1" applyAlignment="1" applyProtection="1">
      <alignment horizontal="center" vertical="center" wrapText="1"/>
      <protection hidden="1"/>
    </xf>
    <xf numFmtId="0" fontId="85" fillId="3" borderId="76" xfId="6" applyFont="1" applyFill="1" applyBorder="1" applyAlignment="1" applyProtection="1">
      <alignment horizontal="center" vertical="center" wrapText="1"/>
      <protection hidden="1"/>
    </xf>
    <xf numFmtId="0" fontId="37" fillId="12" borderId="55" xfId="6" applyFont="1" applyFill="1" applyBorder="1" applyAlignment="1" applyProtection="1">
      <alignment horizontal="center" vertical="center"/>
      <protection hidden="1"/>
    </xf>
    <xf numFmtId="0" fontId="37" fillId="12" borderId="5" xfId="6" applyFont="1" applyFill="1" applyBorder="1" applyAlignment="1" applyProtection="1">
      <alignment horizontal="center" vertical="center"/>
      <protection hidden="1"/>
    </xf>
    <xf numFmtId="0" fontId="37" fillId="12" borderId="54" xfId="6" applyFont="1" applyFill="1" applyBorder="1" applyAlignment="1" applyProtection="1">
      <alignment horizontal="center" vertical="center"/>
      <protection hidden="1"/>
    </xf>
    <xf numFmtId="0" fontId="37" fillId="12" borderId="100" xfId="6" applyFont="1" applyFill="1" applyBorder="1" applyAlignment="1" applyProtection="1">
      <alignment horizontal="center" vertical="center" wrapText="1"/>
      <protection hidden="1"/>
    </xf>
    <xf numFmtId="0" fontId="37" fillId="12" borderId="111" xfId="6" applyFont="1" applyFill="1" applyBorder="1" applyAlignment="1" applyProtection="1">
      <alignment horizontal="center" vertical="center" wrapText="1"/>
      <protection hidden="1"/>
    </xf>
    <xf numFmtId="0" fontId="37" fillId="12" borderId="34" xfId="6" applyFont="1" applyFill="1" applyBorder="1" applyAlignment="1" applyProtection="1">
      <alignment horizontal="center" vertical="center"/>
      <protection hidden="1"/>
    </xf>
    <xf numFmtId="0" fontId="37" fillId="12" borderId="64" xfId="6" applyFont="1" applyFill="1" applyBorder="1" applyAlignment="1" applyProtection="1">
      <alignment horizontal="center" vertical="center"/>
      <protection hidden="1"/>
    </xf>
    <xf numFmtId="0" fontId="37" fillId="12" borderId="56" xfId="6" applyFont="1" applyFill="1" applyBorder="1" applyAlignment="1" applyProtection="1">
      <alignment horizontal="center" vertical="center"/>
      <protection hidden="1"/>
    </xf>
    <xf numFmtId="0" fontId="85" fillId="12" borderId="11" xfId="6" applyFont="1" applyFill="1" applyBorder="1" applyAlignment="1" applyProtection="1">
      <alignment horizontal="center" vertical="center" wrapText="1"/>
      <protection hidden="1"/>
    </xf>
    <xf numFmtId="0" fontId="85" fillId="12" borderId="57" xfId="6" applyFont="1" applyFill="1" applyBorder="1" applyAlignment="1" applyProtection="1">
      <alignment horizontal="center" vertical="center" wrapText="1"/>
      <protection hidden="1"/>
    </xf>
    <xf numFmtId="0" fontId="85" fillId="12" borderId="27" xfId="6" applyFont="1" applyFill="1" applyBorder="1" applyAlignment="1" applyProtection="1">
      <alignment horizontal="center" vertical="center" wrapText="1"/>
      <protection hidden="1"/>
    </xf>
    <xf numFmtId="0" fontId="37" fillId="12" borderId="11" xfId="6" applyFont="1" applyFill="1" applyBorder="1" applyAlignment="1" applyProtection="1">
      <alignment horizontal="center" vertical="center"/>
      <protection hidden="1"/>
    </xf>
    <xf numFmtId="0" fontId="37" fillId="12" borderId="57" xfId="6" applyFont="1" applyFill="1" applyBorder="1" applyAlignment="1" applyProtection="1">
      <alignment horizontal="center" vertical="center"/>
      <protection hidden="1"/>
    </xf>
    <xf numFmtId="0" fontId="37" fillId="12" borderId="27" xfId="6" applyFont="1" applyFill="1" applyBorder="1" applyAlignment="1" applyProtection="1">
      <alignment horizontal="center" vertical="center"/>
      <protection hidden="1"/>
    </xf>
    <xf numFmtId="0" fontId="85" fillId="12" borderId="9" xfId="6" applyFont="1" applyFill="1" applyBorder="1" applyAlignment="1" applyProtection="1">
      <alignment horizontal="center" vertical="center"/>
      <protection hidden="1"/>
    </xf>
    <xf numFmtId="0" fontId="85" fillId="12" borderId="63" xfId="6" applyFont="1" applyFill="1" applyBorder="1" applyAlignment="1" applyProtection="1">
      <alignment horizontal="center" vertical="center"/>
      <protection hidden="1"/>
    </xf>
    <xf numFmtId="0" fontId="85" fillId="12" borderId="40" xfId="6" applyFont="1" applyFill="1" applyBorder="1" applyAlignment="1" applyProtection="1">
      <alignment horizontal="center" vertical="center"/>
      <protection hidden="1"/>
    </xf>
    <xf numFmtId="0" fontId="37" fillId="0" borderId="58" xfId="6" applyFont="1" applyFill="1" applyBorder="1" applyAlignment="1" applyProtection="1">
      <alignment horizontal="center" vertical="center" wrapText="1"/>
      <protection hidden="1"/>
    </xf>
    <xf numFmtId="0" fontId="37" fillId="0" borderId="47" xfId="6" applyFont="1" applyFill="1" applyBorder="1" applyAlignment="1" applyProtection="1">
      <alignment horizontal="center" vertical="center" wrapText="1"/>
      <protection hidden="1"/>
    </xf>
    <xf numFmtId="0" fontId="37" fillId="0" borderId="106" xfId="6" applyFont="1" applyFill="1" applyBorder="1" applyAlignment="1" applyProtection="1">
      <alignment horizontal="center" vertical="center" wrapText="1"/>
      <protection hidden="1"/>
    </xf>
    <xf numFmtId="0" fontId="37" fillId="0" borderId="107" xfId="6" applyFont="1" applyFill="1" applyBorder="1" applyAlignment="1" applyProtection="1">
      <alignment horizontal="center" vertical="center" wrapText="1"/>
      <protection hidden="1"/>
    </xf>
    <xf numFmtId="0" fontId="37" fillId="12" borderId="108" xfId="6" applyFont="1" applyFill="1" applyBorder="1" applyAlignment="1" applyProtection="1">
      <alignment horizontal="center" vertical="center"/>
      <protection hidden="1"/>
    </xf>
    <xf numFmtId="0" fontId="37" fillId="0" borderId="11" xfId="6" applyFont="1" applyFill="1" applyBorder="1" applyAlignment="1" applyProtection="1">
      <alignment horizontal="center" vertical="center" wrapText="1"/>
      <protection hidden="1"/>
    </xf>
    <xf numFmtId="0" fontId="37" fillId="0" borderId="108" xfId="6" applyFont="1" applyFill="1" applyBorder="1" applyAlignment="1" applyProtection="1">
      <alignment horizontal="center" vertical="center" wrapText="1"/>
      <protection hidden="1"/>
    </xf>
    <xf numFmtId="0" fontId="35" fillId="12" borderId="43" xfId="10" applyFont="1" applyFill="1" applyBorder="1" applyAlignment="1" applyProtection="1">
      <alignment vertical="center" textRotation="255"/>
      <protection hidden="1"/>
    </xf>
    <xf numFmtId="0" fontId="35" fillId="12" borderId="45" xfId="10" applyFont="1" applyFill="1" applyBorder="1" applyAlignment="1" applyProtection="1">
      <alignment vertical="center" textRotation="255"/>
      <protection hidden="1"/>
    </xf>
    <xf numFmtId="14" fontId="37" fillId="12" borderId="10" xfId="6" applyNumberFormat="1" applyFont="1" applyFill="1" applyBorder="1" applyAlignment="1" applyProtection="1">
      <alignment horizontal="center" vertical="center" textRotation="255" wrapText="1"/>
      <protection hidden="1"/>
    </xf>
    <xf numFmtId="14" fontId="37" fillId="12" borderId="45" xfId="6" applyNumberFormat="1" applyFont="1" applyFill="1" applyBorder="1" applyAlignment="1" applyProtection="1">
      <alignment horizontal="center" vertical="center" textRotation="255" wrapText="1"/>
      <protection hidden="1"/>
    </xf>
    <xf numFmtId="0" fontId="37" fillId="12" borderId="28" xfId="6" applyFont="1" applyFill="1" applyBorder="1" applyAlignment="1" applyProtection="1">
      <alignment horizontal="center" vertical="center"/>
      <protection hidden="1"/>
    </xf>
    <xf numFmtId="0" fontId="37" fillId="12" borderId="6" xfId="6" applyFont="1" applyFill="1" applyBorder="1" applyAlignment="1" applyProtection="1">
      <alignment horizontal="center" vertical="center"/>
      <protection hidden="1"/>
    </xf>
    <xf numFmtId="194" fontId="37" fillId="12" borderId="126" xfId="11" applyNumberFormat="1" applyFont="1" applyFill="1" applyBorder="1" applyAlignment="1" applyProtection="1">
      <alignment horizontal="center" vertical="center"/>
      <protection hidden="1"/>
    </xf>
    <xf numFmtId="194" fontId="37" fillId="12" borderId="127" xfId="11" applyNumberFormat="1" applyFont="1" applyFill="1" applyBorder="1" applyAlignment="1" applyProtection="1">
      <alignment horizontal="center" vertical="center"/>
      <protection hidden="1"/>
    </xf>
    <xf numFmtId="194" fontId="37" fillId="12" borderId="128" xfId="11" applyNumberFormat="1" applyFont="1" applyFill="1" applyBorder="1" applyAlignment="1" applyProtection="1">
      <alignment horizontal="center" vertical="center"/>
      <protection hidden="1"/>
    </xf>
    <xf numFmtId="0" fontId="37" fillId="12" borderId="129" xfId="6" applyFont="1" applyFill="1" applyBorder="1" applyAlignment="1" applyProtection="1">
      <alignment horizontal="center" vertical="center"/>
      <protection hidden="1"/>
    </xf>
    <xf numFmtId="0" fontId="37" fillId="12" borderId="130" xfId="6" applyFont="1" applyFill="1" applyBorder="1" applyAlignment="1" applyProtection="1">
      <alignment horizontal="center" vertical="center"/>
      <protection hidden="1"/>
    </xf>
    <xf numFmtId="0" fontId="37" fillId="12" borderId="50" xfId="6" applyFont="1" applyFill="1" applyBorder="1" applyAlignment="1" applyProtection="1">
      <alignment horizontal="distributed" vertical="center" justifyLastLine="1"/>
      <protection hidden="1"/>
    </xf>
    <xf numFmtId="0" fontId="37" fillId="12" borderId="51" xfId="6" applyFont="1" applyFill="1" applyBorder="1" applyAlignment="1" applyProtection="1">
      <alignment horizontal="distributed" vertical="center" justifyLastLine="1"/>
      <protection hidden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38" fontId="14" fillId="0" borderId="56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38" fontId="14" fillId="0" borderId="33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38" fontId="14" fillId="0" borderId="32" xfId="0" applyNumberFormat="1" applyFont="1" applyBorder="1" applyAlignment="1">
      <alignment horizontal="right" vertical="center"/>
    </xf>
    <xf numFmtId="38" fontId="14" fillId="0" borderId="64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38" fontId="14" fillId="0" borderId="54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38" fontId="14" fillId="0" borderId="19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38" fontId="14" fillId="0" borderId="18" xfId="0" applyNumberFormat="1" applyFont="1" applyBorder="1" applyAlignment="1">
      <alignment horizontal="right" vertical="center"/>
    </xf>
    <xf numFmtId="38" fontId="14" fillId="0" borderId="5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38" fontId="14" fillId="0" borderId="11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10" xfId="0" applyNumberFormat="1" applyFont="1" applyBorder="1" applyAlignment="1">
      <alignment horizontal="center" vertical="center"/>
    </xf>
    <xf numFmtId="38" fontId="14" fillId="0" borderId="6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38" fontId="14" fillId="0" borderId="51" xfId="0" applyNumberFormat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0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8" fontId="14" fillId="0" borderId="4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</cellXfs>
  <cellStyles count="12">
    <cellStyle name="ハイパーリンク" xfId="8" builtinId="8"/>
    <cellStyle name="桁区切り" xfId="1" builtinId="6"/>
    <cellStyle name="桁区切り 2" xfId="3"/>
    <cellStyle name="桁区切り 2 2" xfId="11"/>
    <cellStyle name="桁区切り 3" xfId="7"/>
    <cellStyle name="通貨" xfId="9" builtinId="7"/>
    <cellStyle name="標準" xfId="0" builtinId="0"/>
    <cellStyle name="標準 2" xfId="2"/>
    <cellStyle name="標準 2 2" xfId="10"/>
    <cellStyle name="標準 3" xfId="4"/>
    <cellStyle name="標準 4" xfId="5"/>
    <cellStyle name="標準_負荷チェックシート（水谷修正）" xfId="6"/>
  </cellStyles>
  <dxfs count="6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9-4896-B64B-09379DEE2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さいたま市窓遮熱!$O$3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さいたま市窓遮熱!$O$6:$O$17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7-46E2-B7E5-51BD0DA0B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E-4F4E-B4AF-DDAF2159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1-43B3-93C7-3883A9C0B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熊谷市屋根!$N$3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熊谷市屋根!$N$6:$N$17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C-4717-A6D4-720A43B5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熊谷市屋根!$O$3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熊谷市屋根!$O$6:$O$17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3CF-A36E-B557A44CD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熊谷市外壁!$N$3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熊谷市外壁!$N$6:$N$17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9-463A-B209-122097D50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熊谷市外壁!$O$3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熊谷市外壁!$O$6:$O$17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D-42F7-93AC-7105A7CDD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熊谷市窓断熱!$N$3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熊谷市窓断熱!$N$6:$N$17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4-4303-A201-ABD333A0B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熊谷市窓断熱!$O$3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熊谷市窓断熱!$O$6:$O$17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3-4BBC-8419-58089F687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熊谷市窓遮熱!$N$3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熊谷市窓遮熱!$N$6:$N$17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C-411A-B12B-A1B2B5D28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9776"/>
        <c:axId val="93501312"/>
      </c:barChart>
      <c:catAx>
        <c:axId val="934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01312"/>
        <c:crosses val="autoZero"/>
        <c:auto val="1"/>
        <c:lblAlgn val="ctr"/>
        <c:lblOffset val="100"/>
        <c:noMultiLvlLbl val="0"/>
      </c:catAx>
      <c:valAx>
        <c:axId val="935013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4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6-4DBE-BEB5-2AD56A827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熊谷市窓遮熱!$O$3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熊谷市窓遮熱!$O$6:$O$17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F-4745-BE27-D3981E32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6256"/>
        <c:axId val="93537792"/>
      </c:barChart>
      <c:catAx>
        <c:axId val="935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37792"/>
        <c:crosses val="autoZero"/>
        <c:auto val="1"/>
        <c:lblAlgn val="ctr"/>
        <c:lblOffset val="100"/>
        <c:noMultiLvlLbl val="0"/>
      </c:catAx>
      <c:valAx>
        <c:axId val="93537792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536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15748031496062992" l="0.11811023622047245" r="0.11811023622047245" t="0.55118110236220474" header="0.31496062992125984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C-4316-8D3B-52938E350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E-41D0-BFA1-C96AE378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秩父市屋根!$N$3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秩父市屋根!$N$6:$N$17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B-43F3-8CB1-19061792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秩父市屋根!$O$3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秩父市屋根!$O$6:$O$17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3-4DF2-A5F8-02CC22F0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秩父市外壁!$N$3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秩父市外壁!$N$6:$N$17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7-40CF-A2DF-6E9F72D7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秩父市外壁!$O$3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秩父市外壁!$O$6:$O$17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F-4553-B4E2-08345D30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秩父市窓断熱!$N$3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秩父市窓断熱!$N$6:$N$17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5-4FEF-858F-2CC100F04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秩父市窓断熱!$O$3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秩父市窓断熱!$O$6:$O$17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4-40D5-9E8E-4BFC308B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空調消費電力削減量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秩父市窓遮熱!$N$3</c:f>
              <c:strCache>
                <c:ptCount val="1"/>
                <c:pt idx="0">
                  <c:v>空調消費電力
削減量</c:v>
                </c:pt>
              </c:strCache>
            </c:strRef>
          </c:tx>
          <c:invertIfNegative val="0"/>
          <c:val>
            <c:numRef>
              <c:f>秩父市窓遮熱!$N$6:$N$17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5-4439-BCBF-32DB5BC8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88480"/>
        <c:axId val="93590272"/>
      </c:barChart>
      <c:catAx>
        <c:axId val="935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590272"/>
        <c:crosses val="autoZero"/>
        <c:auto val="1"/>
        <c:lblAlgn val="ctr"/>
        <c:lblOffset val="100"/>
        <c:noMultiLvlLbl val="0"/>
      </c:catAx>
      <c:valAx>
        <c:axId val="935902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さいたま市屋根!$N$3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さいたま市屋根!$N$6:$N$17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F-4521-AF92-82183FD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秩父市窓遮熱!$O$3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秩父市窓遮熱!$O$6:$O$17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F-430E-A634-8366F0B78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3424"/>
        <c:axId val="93624960"/>
      </c:barChart>
      <c:catAx>
        <c:axId val="9362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4960"/>
        <c:crosses val="autoZero"/>
        <c:auto val="1"/>
        <c:lblAlgn val="ctr"/>
        <c:lblOffset val="100"/>
        <c:noMultiLvlLbl val="0"/>
      </c:catAx>
      <c:valAx>
        <c:axId val="93624960"/>
        <c:scaling>
          <c:orientation val="minMax"/>
        </c:scaling>
        <c:delete val="0"/>
        <c:axPos val="l"/>
        <c:majorGridlines/>
        <c:numFmt formatCode="#,##0.0;[Red]\-#,##0.0" sourceLinked="0"/>
        <c:majorTickMark val="out"/>
        <c:minorTickMark val="none"/>
        <c:tickLblPos val="nextTo"/>
        <c:crossAx val="9362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気象庁の直接日射量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【根拠】日射係数!$C$22</c:f>
              <c:strCache>
                <c:ptCount val="1"/>
                <c:pt idx="0">
                  <c:v>直接日射量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【根拠】日射係数!$B$23:$B$28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【根拠】日射係数!$C$23:$C$28</c:f>
              <c:numCache>
                <c:formatCode>#,##0_);[Red]\(#,##0\)</c:formatCode>
                <c:ptCount val="6"/>
                <c:pt idx="0">
                  <c:v>39880</c:v>
                </c:pt>
                <c:pt idx="1">
                  <c:v>36235</c:v>
                </c:pt>
                <c:pt idx="2">
                  <c:v>41767</c:v>
                </c:pt>
                <c:pt idx="3">
                  <c:v>43508</c:v>
                </c:pt>
                <c:pt idx="4">
                  <c:v>30106</c:v>
                </c:pt>
                <c:pt idx="5">
                  <c:v>32178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46-40D8-83C5-C39B7DEE4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960"/>
        <c:axId val="93706496"/>
      </c:lineChart>
      <c:catAx>
        <c:axId val="9370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706496"/>
        <c:crosses val="autoZero"/>
        <c:auto val="1"/>
        <c:lblAlgn val="ctr"/>
        <c:lblOffset val="100"/>
        <c:noMultiLvlLbl val="0"/>
      </c:catAx>
      <c:valAx>
        <c:axId val="937064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93704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【根拠】日射係数!$C$5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【根拠】日射係数!$C$6:$C$11</c:f>
              <c:numCache>
                <c:formatCode>#,##0_);[Red]\(#,##0\)</c:formatCode>
                <c:ptCount val="6"/>
                <c:pt idx="0">
                  <c:v>49885</c:v>
                </c:pt>
                <c:pt idx="1">
                  <c:v>29699</c:v>
                </c:pt>
                <c:pt idx="2">
                  <c:v>36340</c:v>
                </c:pt>
                <c:pt idx="3">
                  <c:v>36126</c:v>
                </c:pt>
                <c:pt idx="4">
                  <c:v>35636</c:v>
                </c:pt>
                <c:pt idx="5">
                  <c:v>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2-497A-8FE3-3F6A1428FA34}"/>
            </c:ext>
          </c:extLst>
        </c:ser>
        <c:ser>
          <c:idx val="1"/>
          <c:order val="1"/>
          <c:tx>
            <c:strRef>
              <c:f>【根拠】日射係数!$D$5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【根拠】日射係数!$D$6:$D$11</c:f>
              <c:numCache>
                <c:formatCode>#,##0_);[Red]\(#,##0\)</c:formatCode>
                <c:ptCount val="6"/>
                <c:pt idx="0">
                  <c:v>53825</c:v>
                </c:pt>
                <c:pt idx="1">
                  <c:v>25859</c:v>
                </c:pt>
                <c:pt idx="2">
                  <c:v>38761</c:v>
                </c:pt>
                <c:pt idx="3">
                  <c:v>27789</c:v>
                </c:pt>
                <c:pt idx="4">
                  <c:v>24140</c:v>
                </c:pt>
                <c:pt idx="5">
                  <c:v>43534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2-497A-8FE3-3F6A1428FA34}"/>
            </c:ext>
          </c:extLst>
        </c:ser>
        <c:ser>
          <c:idx val="2"/>
          <c:order val="2"/>
          <c:tx>
            <c:strRef>
              <c:f>【根拠】日射係数!$E$5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【根拠】日射係数!$E$6:$E$11</c:f>
              <c:numCache>
                <c:formatCode>#,##0_);[Red]\(#,##0\)</c:formatCode>
                <c:ptCount val="6"/>
                <c:pt idx="0">
                  <c:v>42756</c:v>
                </c:pt>
                <c:pt idx="1">
                  <c:v>28881</c:v>
                </c:pt>
                <c:pt idx="2">
                  <c:v>29001</c:v>
                </c:pt>
                <c:pt idx="3">
                  <c:v>35968</c:v>
                </c:pt>
                <c:pt idx="4">
                  <c:v>18828</c:v>
                </c:pt>
                <c:pt idx="5">
                  <c:v>29891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22-497A-8FE3-3F6A1428FA34}"/>
            </c:ext>
          </c:extLst>
        </c:ser>
        <c:ser>
          <c:idx val="3"/>
          <c:order val="3"/>
          <c:tx>
            <c:strRef>
              <c:f>【根拠】日射係数!$F$5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【根拠】日射係数!$F$6:$F$11</c:f>
              <c:numCache>
                <c:formatCode>#,##0_);[Red]\(#,##0\)</c:formatCode>
                <c:ptCount val="6"/>
                <c:pt idx="0">
                  <c:v>41675</c:v>
                </c:pt>
                <c:pt idx="1">
                  <c:v>35220</c:v>
                </c:pt>
                <c:pt idx="2">
                  <c:v>36488</c:v>
                </c:pt>
                <c:pt idx="3">
                  <c:v>16041</c:v>
                </c:pt>
                <c:pt idx="4">
                  <c:v>30106</c:v>
                </c:pt>
                <c:pt idx="5">
                  <c:v>23587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22-497A-8FE3-3F6A1428FA34}"/>
            </c:ext>
          </c:extLst>
        </c:ser>
        <c:ser>
          <c:idx val="4"/>
          <c:order val="4"/>
          <c:tx>
            <c:strRef>
              <c:f>【根拠】日射係数!$G$5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【根拠】日射係数!$G$6:$G$11</c:f>
              <c:numCache>
                <c:formatCode>#,##0_);[Red]\(#,##0\)</c:formatCode>
                <c:ptCount val="6"/>
                <c:pt idx="0">
                  <c:v>39880</c:v>
                </c:pt>
                <c:pt idx="1">
                  <c:v>36235</c:v>
                </c:pt>
                <c:pt idx="2">
                  <c:v>41767</c:v>
                </c:pt>
                <c:pt idx="3">
                  <c:v>43508</c:v>
                </c:pt>
                <c:pt idx="4">
                  <c:v>18239</c:v>
                </c:pt>
                <c:pt idx="5">
                  <c:v>32178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22-497A-8FE3-3F6A1428FA34}"/>
            </c:ext>
          </c:extLst>
        </c:ser>
        <c:ser>
          <c:idx val="5"/>
          <c:order val="5"/>
          <c:tx>
            <c:strRef>
              <c:f>【根拠】日射係数!$I$5</c:f>
              <c:strCache>
                <c:ptCount val="1"/>
                <c:pt idx="0">
                  <c:v>平均値</c:v>
                </c:pt>
              </c:strCache>
            </c:strRef>
          </c:tx>
          <c:cat>
            <c:strRef>
              <c:f>【根拠】日射係数!$B$6:$B$11</c:f>
              <c:strCache>
                <c:ptCount val="6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</c:strCache>
            </c:strRef>
          </c:cat>
          <c:val>
            <c:numRef>
              <c:f>【根拠】日射係数!$I$6:$I$11</c:f>
              <c:numCache>
                <c:formatCode>#,##0_);[Red]\(#,##0\)</c:formatCode>
                <c:ptCount val="6"/>
                <c:pt idx="0">
                  <c:v>45604.2</c:v>
                </c:pt>
                <c:pt idx="1">
                  <c:v>31178.799999999999</c:v>
                </c:pt>
                <c:pt idx="2">
                  <c:v>36471.4</c:v>
                </c:pt>
                <c:pt idx="3">
                  <c:v>31886.400000000001</c:v>
                </c:pt>
                <c:pt idx="4">
                  <c:v>25389.8</c:v>
                </c:pt>
                <c:pt idx="5">
                  <c:v>32238.2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22-497A-8FE3-3F6A1428F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8240"/>
        <c:axId val="95979776"/>
      </c:lineChart>
      <c:catAx>
        <c:axId val="9597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5979776"/>
        <c:crosses val="autoZero"/>
        <c:auto val="1"/>
        <c:lblAlgn val="ctr"/>
        <c:lblOffset val="100"/>
        <c:noMultiLvlLbl val="0"/>
      </c:catAx>
      <c:valAx>
        <c:axId val="9597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直接日射量</a:t>
                </a:r>
              </a:p>
            </c:rich>
          </c:tx>
          <c:overlay val="0"/>
        </c:title>
        <c:numFmt formatCode="#,##0_);[Red]\(#,##0\)" sourceLinked="1"/>
        <c:majorTickMark val="none"/>
        <c:minorTickMark val="none"/>
        <c:tickLblPos val="nextTo"/>
        <c:crossAx val="9597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さいたま市屋根!$O$3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さいたま市屋根!$O$6:$O$17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7-45DE-B51E-312BC08A7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さいたま市外壁!$N$3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さいたま市外壁!$N$6:$N$17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A-4F83-9026-CC93F578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さいたま市外壁!$O$3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さいたま市外壁!$O$6:$O$17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4-4458-8930-78168AF0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さいたま市窓断熱!$N$3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さいたま市窓断熱!$N$6:$N$17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B-4508-BD8A-20D7D09D6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CO2</a:t>
            </a:r>
            <a:r>
              <a:rPr lang="ja-JP" altLang="en-US" sz="1200"/>
              <a:t>削減量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さいたま市窓断熱!$O$3</c:f>
              <c:strCache>
                <c:ptCount val="1"/>
                <c:pt idx="0">
                  <c:v>CO２
削減量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</c:spPr>
          <c:invertIfNegative val="0"/>
          <c:val>
            <c:numRef>
              <c:f>さいたま市窓断熱!$O$6:$O$17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1-4EAB-80D8-38240BD7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976"/>
        <c:axId val="94272512"/>
      </c:barChart>
      <c:catAx>
        <c:axId val="9427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72512"/>
        <c:crosses val="autoZero"/>
        <c:auto val="1"/>
        <c:lblAlgn val="ctr"/>
        <c:lblOffset val="100"/>
        <c:noMultiLvlLbl val="0"/>
      </c:catAx>
      <c:valAx>
        <c:axId val="9427251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9427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さいたま市窓遮熱!$N$3</c:f>
              <c:strCache>
                <c:ptCount val="1"/>
                <c:pt idx="0">
                  <c:v>空調消費電力削減量</c:v>
                </c:pt>
              </c:strCache>
            </c:strRef>
          </c:tx>
          <c:invertIfNegative val="0"/>
          <c:val>
            <c:numRef>
              <c:f>さいたま市窓遮熱!$N$6:$N$17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C-4C19-8B32-E08758388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2192"/>
        <c:axId val="86430848"/>
      </c:barChart>
      <c:catAx>
        <c:axId val="8639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86430848"/>
        <c:crosses val="autoZero"/>
        <c:auto val="1"/>
        <c:lblAlgn val="ctr"/>
        <c:lblOffset val="100"/>
        <c:noMultiLvlLbl val="0"/>
      </c:catAx>
      <c:valAx>
        <c:axId val="864308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639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P$33" lockText="1" noThreeD="1"/>
</file>

<file path=xl/ctrlProps/ctrlProp2.xml><?xml version="1.0" encoding="utf-8"?>
<formControlPr xmlns="http://schemas.microsoft.com/office/spreadsheetml/2009/9/main" objectType="CheckBox" fmlaLink="$P$34" lockText="1" noThreeD="1"/>
</file>

<file path=xl/ctrlProps/ctrlProp3.xml><?xml version="1.0" encoding="utf-8"?>
<formControlPr xmlns="http://schemas.microsoft.com/office/spreadsheetml/2009/9/main" objectType="CheckBox" fmlaLink="$P$36" lockText="1" noThreeD="1"/>
</file>

<file path=xl/ctrlProps/ctrlProp4.xml><?xml version="1.0" encoding="utf-8"?>
<formControlPr xmlns="http://schemas.microsoft.com/office/spreadsheetml/2009/9/main" objectType="CheckBox" fmlaLink="$P$37" lockText="1" noThreeD="1"/>
</file>

<file path=xl/ctrlProps/ctrlProp5.xml><?xml version="1.0" encoding="utf-8"?>
<formControlPr xmlns="http://schemas.microsoft.com/office/spreadsheetml/2009/9/main" objectType="CheckBox" fmlaLink="$P$35" lockText="1" noThreeD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400051</xdr:colOff>
      <xdr:row>12</xdr:row>
      <xdr:rowOff>161924</xdr:rowOff>
    </xdr:from>
    <xdr:to>
      <xdr:col>7</xdr:col>
      <xdr:colOff>666751</xdr:colOff>
      <xdr:row>20</xdr:row>
      <xdr:rowOff>104774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720000">
          <a:off x="3882391" y="2272664"/>
          <a:ext cx="1630680" cy="128397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16</xdr:row>
      <xdr:rowOff>85725</xdr:rowOff>
    </xdr:from>
    <xdr:to>
      <xdr:col>9</xdr:col>
      <xdr:colOff>0</xdr:colOff>
      <xdr:row>16</xdr:row>
      <xdr:rowOff>85725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520440" y="2867025"/>
          <a:ext cx="261366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10</xdr:row>
      <xdr:rowOff>9525</xdr:rowOff>
    </xdr:from>
    <xdr:to>
      <xdr:col>6</xdr:col>
      <xdr:colOff>333375</xdr:colOff>
      <xdr:row>24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615815" y="1784985"/>
          <a:ext cx="0" cy="249936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428626</xdr:colOff>
      <xdr:row>8</xdr:row>
      <xdr:rowOff>100011</xdr:rowOff>
    </xdr:from>
    <xdr:to>
      <xdr:col>6</xdr:col>
      <xdr:colOff>428626</xdr:colOff>
      <xdr:row>25</xdr:row>
      <xdr:rowOff>90486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2700000">
          <a:off x="3290888" y="2960369"/>
          <a:ext cx="284035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647701</xdr:colOff>
      <xdr:row>16</xdr:row>
      <xdr:rowOff>95251</xdr:rowOff>
    </xdr:from>
    <xdr:to>
      <xdr:col>8</xdr:col>
      <xdr:colOff>409576</xdr:colOff>
      <xdr:row>16</xdr:row>
      <xdr:rowOff>95251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18900000">
          <a:off x="3329941" y="2876551"/>
          <a:ext cx="259651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19</xdr:row>
      <xdr:rowOff>28575</xdr:rowOff>
    </xdr:from>
    <xdr:to>
      <xdr:col>9</xdr:col>
      <xdr:colOff>238125</xdr:colOff>
      <xdr:row>21</xdr:row>
      <xdr:rowOff>38100</xdr:rowOff>
    </xdr:to>
    <xdr:sp macro="" textlink="">
      <xdr:nvSpPr>
        <xdr:cNvPr id="7" name="四角形吹き出し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97855" y="3312795"/>
          <a:ext cx="674370" cy="344805"/>
        </a:xfrm>
        <a:prstGeom prst="wedgeRectCallout">
          <a:avLst>
            <a:gd name="adj1" fmla="val -77243"/>
            <a:gd name="adj2" fmla="val -8063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東面</a:t>
          </a:r>
        </a:p>
      </xdr:txBody>
    </xdr:sp>
    <xdr:clientData/>
  </xdr:twoCellAnchor>
  <xdr:twoCellAnchor>
    <xdr:from>
      <xdr:col>6</xdr:col>
      <xdr:colOff>638175</xdr:colOff>
      <xdr:row>8</xdr:row>
      <xdr:rowOff>95250</xdr:rowOff>
    </xdr:from>
    <xdr:to>
      <xdr:col>8</xdr:col>
      <xdr:colOff>9525</xdr:colOff>
      <xdr:row>9</xdr:row>
      <xdr:rowOff>133350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97755" y="1535430"/>
          <a:ext cx="628650" cy="205740"/>
        </a:xfrm>
        <a:prstGeom prst="wedgeRectCallout">
          <a:avLst>
            <a:gd name="adj1" fmla="val -69550"/>
            <a:gd name="adj2" fmla="val 30207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北面</a:t>
          </a:r>
        </a:p>
      </xdr:txBody>
    </xdr:sp>
    <xdr:clientData/>
  </xdr:twoCellAnchor>
  <xdr:twoCellAnchor>
    <xdr:from>
      <xdr:col>4</xdr:col>
      <xdr:colOff>276225</xdr:colOff>
      <xdr:row>13</xdr:row>
      <xdr:rowOff>9525</xdr:rowOff>
    </xdr:from>
    <xdr:to>
      <xdr:col>5</xdr:col>
      <xdr:colOff>133350</xdr:colOff>
      <xdr:row>14</xdr:row>
      <xdr:rowOff>142875</xdr:rowOff>
    </xdr:to>
    <xdr:sp macro="" textlink="">
      <xdr:nvSpPr>
        <xdr:cNvPr id="9" name="四角形吹き出し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958465" y="2287905"/>
          <a:ext cx="657225" cy="300990"/>
        </a:xfrm>
        <a:prstGeom prst="wedgeRectCallout">
          <a:avLst>
            <a:gd name="adj1" fmla="val 88142"/>
            <a:gd name="adj2" fmla="val 742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西面</a:t>
          </a:r>
        </a:p>
      </xdr:txBody>
    </xdr:sp>
    <xdr:clientData/>
  </xdr:twoCellAnchor>
  <xdr:twoCellAnchor>
    <xdr:from>
      <xdr:col>6</xdr:col>
      <xdr:colOff>552450</xdr:colOff>
      <xdr:row>23</xdr:row>
      <xdr:rowOff>9525</xdr:rowOff>
    </xdr:from>
    <xdr:to>
      <xdr:col>7</xdr:col>
      <xdr:colOff>609600</xdr:colOff>
      <xdr:row>24</xdr:row>
      <xdr:rowOff>114300</xdr:rowOff>
    </xdr:to>
    <xdr:sp macro="" textlink="">
      <xdr:nvSpPr>
        <xdr:cNvPr id="10" name="四角形吹き出し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890" y="3964305"/>
          <a:ext cx="674370" cy="272415"/>
        </a:xfrm>
        <a:prstGeom prst="wedgeRectCallout">
          <a:avLst>
            <a:gd name="adj1" fmla="val -31089"/>
            <a:gd name="adj2" fmla="val -16961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南面</a:t>
          </a:r>
        </a:p>
      </xdr:txBody>
    </xdr:sp>
    <xdr:clientData/>
  </xdr:twoCellAnchor>
  <xdr:twoCellAnchor>
    <xdr:from>
      <xdr:col>5</xdr:col>
      <xdr:colOff>400051</xdr:colOff>
      <xdr:row>30</xdr:row>
      <xdr:rowOff>161924</xdr:rowOff>
    </xdr:from>
    <xdr:to>
      <xdr:col>7</xdr:col>
      <xdr:colOff>666751</xdr:colOff>
      <xdr:row>38</xdr:row>
      <xdr:rowOff>104774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400000">
          <a:off x="3882391" y="5305424"/>
          <a:ext cx="1630680" cy="128397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34</xdr:row>
      <xdr:rowOff>85725</xdr:rowOff>
    </xdr:from>
    <xdr:to>
      <xdr:col>9</xdr:col>
      <xdr:colOff>0</xdr:colOff>
      <xdr:row>34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520440" y="5899785"/>
          <a:ext cx="2613660" cy="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28</xdr:row>
      <xdr:rowOff>9525</xdr:rowOff>
    </xdr:from>
    <xdr:to>
      <xdr:col>6</xdr:col>
      <xdr:colOff>333375</xdr:colOff>
      <xdr:row>41</xdr:row>
      <xdr:rowOff>120675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615815" y="4817745"/>
          <a:ext cx="0" cy="2290470"/>
        </a:xfrm>
        <a:prstGeom prst="line">
          <a:avLst/>
        </a:prstGeom>
        <a:ln w="12700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428626</xdr:colOff>
      <xdr:row>26</xdr:row>
      <xdr:rowOff>100011</xdr:rowOff>
    </xdr:from>
    <xdr:to>
      <xdr:col>6</xdr:col>
      <xdr:colOff>428626</xdr:colOff>
      <xdr:row>43</xdr:row>
      <xdr:rowOff>90486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2700000">
          <a:off x="3283268" y="5993129"/>
          <a:ext cx="285559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647701</xdr:colOff>
      <xdr:row>34</xdr:row>
      <xdr:rowOff>95251</xdr:rowOff>
    </xdr:from>
    <xdr:to>
      <xdr:col>8</xdr:col>
      <xdr:colOff>409576</xdr:colOff>
      <xdr:row>34</xdr:row>
      <xdr:rowOff>95251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rot="18900000">
          <a:off x="3329941" y="5909311"/>
          <a:ext cx="2596515" cy="0"/>
        </a:xfrm>
        <a:prstGeom prst="line">
          <a:avLst/>
        </a:prstGeom>
        <a:ln w="952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37</xdr:row>
      <xdr:rowOff>28575</xdr:rowOff>
    </xdr:from>
    <xdr:to>
      <xdr:col>9</xdr:col>
      <xdr:colOff>285750</xdr:colOff>
      <xdr:row>39</xdr:row>
      <xdr:rowOff>38100</xdr:rowOff>
    </xdr:to>
    <xdr:sp macro="" textlink="">
      <xdr:nvSpPr>
        <xdr:cNvPr id="16" name="四角形吹き出し 1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45480" y="6345555"/>
          <a:ext cx="674370" cy="344805"/>
        </a:xfrm>
        <a:prstGeom prst="wedgeRectCallout">
          <a:avLst>
            <a:gd name="adj1" fmla="val -77243"/>
            <a:gd name="adj2" fmla="val -8063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南東面</a:t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9</xdr:col>
      <xdr:colOff>95250</xdr:colOff>
      <xdr:row>30</xdr:row>
      <xdr:rowOff>85725</xdr:rowOff>
    </xdr:to>
    <xdr:sp macro="" textlink="">
      <xdr:nvSpPr>
        <xdr:cNvPr id="17" name="四角形吹き出し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54980" y="5023485"/>
          <a:ext cx="674370" cy="205740"/>
        </a:xfrm>
        <a:prstGeom prst="wedgeRectCallout">
          <a:avLst>
            <a:gd name="adj1" fmla="val -69550"/>
            <a:gd name="adj2" fmla="val 30207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北東面</a:t>
          </a:r>
        </a:p>
      </xdr:txBody>
    </xdr:sp>
    <xdr:clientData/>
  </xdr:twoCellAnchor>
  <xdr:twoCellAnchor>
    <xdr:from>
      <xdr:col>4</xdr:col>
      <xdr:colOff>323850</xdr:colOff>
      <xdr:row>30</xdr:row>
      <xdr:rowOff>0</xdr:rowOff>
    </xdr:from>
    <xdr:to>
      <xdr:col>5</xdr:col>
      <xdr:colOff>180975</xdr:colOff>
      <xdr:row>31</xdr:row>
      <xdr:rowOff>133350</xdr:rowOff>
    </xdr:to>
    <xdr:sp macro="" textlink="">
      <xdr:nvSpPr>
        <xdr:cNvPr id="18" name="四角形吹き出し 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06090" y="5143500"/>
          <a:ext cx="657225" cy="300990"/>
        </a:xfrm>
        <a:prstGeom prst="wedgeRectCallout">
          <a:avLst>
            <a:gd name="adj1" fmla="val 88142"/>
            <a:gd name="adj2" fmla="val 742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北西面</a:t>
          </a:r>
        </a:p>
      </xdr:txBody>
    </xdr:sp>
    <xdr:clientData/>
  </xdr:twoCellAnchor>
  <xdr:twoCellAnchor>
    <xdr:from>
      <xdr:col>4</xdr:col>
      <xdr:colOff>390525</xdr:colOff>
      <xdr:row>37</xdr:row>
      <xdr:rowOff>85725</xdr:rowOff>
    </xdr:from>
    <xdr:to>
      <xdr:col>5</xdr:col>
      <xdr:colOff>247650</xdr:colOff>
      <xdr:row>39</xdr:row>
      <xdr:rowOff>19050</xdr:rowOff>
    </xdr:to>
    <xdr:sp macro="" textlink="">
      <xdr:nvSpPr>
        <xdr:cNvPr id="19" name="四角形吹き出し 2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072765" y="6402705"/>
          <a:ext cx="657225" cy="268605"/>
        </a:xfrm>
        <a:prstGeom prst="wedgeRectCallout">
          <a:avLst>
            <a:gd name="adj1" fmla="val 66347"/>
            <a:gd name="adj2" fmla="val -183410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南西面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21</xdr:row>
      <xdr:rowOff>42862</xdr:rowOff>
    </xdr:from>
    <xdr:to>
      <xdr:col>8</xdr:col>
      <xdr:colOff>28574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21</xdr:row>
      <xdr:rowOff>57150</xdr:rowOff>
    </xdr:from>
    <xdr:to>
      <xdr:col>15</xdr:col>
      <xdr:colOff>9525</xdr:colOff>
      <xdr:row>39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571499</xdr:colOff>
      <xdr:row>0</xdr:row>
      <xdr:rowOff>38100</xdr:rowOff>
    </xdr:from>
    <xdr:ext cx="5400675" cy="2651233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58199" y="38100"/>
          <a:ext cx="5400675" cy="2651233"/>
        </a:xfrm>
        <a:prstGeom prst="roundRect">
          <a:avLst>
            <a:gd name="adj" fmla="val 253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注意事項</a:t>
          </a:r>
          <a:r>
            <a:rPr kumimoji="1" lang="en-US" altLang="ja-JP" sz="1400" b="1"/>
            <a:t>】</a:t>
          </a:r>
        </a:p>
        <a:p>
          <a:pPr algn="l"/>
          <a:r>
            <a:rPr kumimoji="1" lang="ja-JP" altLang="en-US" sz="1400"/>
            <a:t>・シートは全部で７枚あります。</a:t>
          </a:r>
          <a:endParaRPr kumimoji="1" lang="en-US" altLang="ja-JP" sz="1400"/>
        </a:p>
        <a:p>
          <a:pPr algn="l"/>
          <a:r>
            <a:rPr kumimoji="1" lang="ja-JP" altLang="en-US" sz="1400"/>
            <a:t>・６つのシート（次の</a:t>
          </a:r>
          <a:r>
            <a:rPr kumimoji="1" lang="en-US" altLang="ja-JP" sz="1400"/>
            <a:t>(1)</a:t>
          </a:r>
          <a:r>
            <a:rPr kumimoji="1" lang="ja-JP" altLang="en-US" sz="1400"/>
            <a:t>～</a:t>
          </a:r>
          <a:r>
            <a:rPr kumimoji="1" lang="en-US" altLang="ja-JP" sz="1400"/>
            <a:t>(6)</a:t>
          </a:r>
          <a:r>
            <a:rPr kumimoji="1" lang="ja-JP" altLang="en-US" sz="1400"/>
            <a:t>）を印刷のうえ提出してください。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【</a:t>
          </a:r>
          <a:r>
            <a:rPr kumimoji="1" lang="ja-JP" altLang="en-US" sz="1400" b="1"/>
            <a:t>提出していただくシート</a:t>
          </a:r>
          <a:r>
            <a:rPr kumimoji="1" lang="en-US" altLang="ja-JP" sz="1400" b="1"/>
            <a:t>】</a:t>
          </a:r>
        </a:p>
        <a:p>
          <a:pPr algn="l"/>
          <a:r>
            <a:rPr kumimoji="1" lang="en-US" altLang="ja-JP" sz="1400"/>
            <a:t>(1)</a:t>
          </a:r>
          <a:r>
            <a:rPr kumimoji="1" lang="ja-JP" altLang="en-US" sz="1400"/>
            <a:t>様式第２号①</a:t>
          </a:r>
          <a:endParaRPr kumimoji="1" lang="en-US" altLang="ja-JP" sz="1400"/>
        </a:p>
        <a:p>
          <a:pPr algn="l"/>
          <a:r>
            <a:rPr kumimoji="1" lang="en-US" altLang="ja-JP" sz="1400"/>
            <a:t>(2)</a:t>
          </a:r>
          <a:r>
            <a:rPr kumimoji="1" lang="ja-JP" altLang="en-US" sz="1400"/>
            <a:t>様式第２号②</a:t>
          </a:r>
          <a:endParaRPr kumimoji="1" lang="en-US" altLang="ja-JP" sz="1400"/>
        </a:p>
        <a:p>
          <a:pPr algn="l"/>
          <a:r>
            <a:rPr kumimoji="1" lang="en-US" altLang="ja-JP" sz="1400"/>
            <a:t>(3)</a:t>
          </a:r>
          <a:r>
            <a:rPr kumimoji="1" lang="ja-JP" altLang="en-US" sz="1400"/>
            <a:t>様式第２号③　</a:t>
          </a:r>
          <a:r>
            <a:rPr kumimoji="1" lang="en-US" altLang="ja-JP" sz="1050"/>
            <a:t>※</a:t>
          </a:r>
          <a:r>
            <a:rPr kumimoji="1" lang="ja-JP" altLang="en-US" sz="1050"/>
            <a:t>併用有または併用無のいずれか該当する方を提出してください。</a:t>
          </a:r>
          <a:endParaRPr kumimoji="1" lang="en-US" altLang="ja-JP" sz="1050"/>
        </a:p>
        <a:p>
          <a:pPr algn="l"/>
          <a:r>
            <a:rPr kumimoji="1" lang="en-US" altLang="ja-JP" sz="1400"/>
            <a:t>(4)</a:t>
          </a:r>
          <a:r>
            <a:rPr kumimoji="1" lang="ja-JP" altLang="en-US" sz="1400"/>
            <a:t>入力シート</a:t>
          </a:r>
          <a:endParaRPr kumimoji="1" lang="en-US" altLang="ja-JP" sz="1400"/>
        </a:p>
        <a:p>
          <a:pPr algn="l"/>
          <a:r>
            <a:rPr kumimoji="1" lang="en-US" altLang="ja-JP" sz="1400"/>
            <a:t>(5)</a:t>
          </a:r>
          <a:r>
            <a:rPr kumimoji="1" lang="ja-JP" altLang="en-US" sz="1400"/>
            <a:t>結果シート</a:t>
          </a:r>
          <a:endParaRPr kumimoji="1" lang="en-US" altLang="ja-JP" sz="1400"/>
        </a:p>
        <a:p>
          <a:pPr algn="l"/>
          <a:r>
            <a:rPr kumimoji="1" lang="en-US" altLang="ja-JP" sz="1400"/>
            <a:t>(6)</a:t>
          </a:r>
          <a:r>
            <a:rPr kumimoji="1" lang="ja-JP" altLang="en-US" sz="1400"/>
            <a:t>原油換算チェックシート</a:t>
          </a:r>
          <a:endParaRPr kumimoji="1" lang="en-US" altLang="ja-JP" sz="1400"/>
        </a:p>
      </xdr:txBody>
    </xdr:sp>
    <xdr:clientData/>
  </xdr:oneCellAnchor>
  <xdr:oneCellAnchor>
    <xdr:from>
      <xdr:col>36</xdr:col>
      <xdr:colOff>28575</xdr:colOff>
      <xdr:row>11</xdr:row>
      <xdr:rowOff>123825</xdr:rowOff>
    </xdr:from>
    <xdr:ext cx="5029200" cy="559127"/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29475" y="2924175"/>
          <a:ext cx="5029200" cy="559127"/>
        </a:xfrm>
        <a:prstGeom prst="wedgeRectCallout">
          <a:avLst>
            <a:gd name="adj1" fmla="val -55968"/>
            <a:gd name="adj2" fmla="val -371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400"/>
            <a:t>エネルギー使用量は、「原油換算」ワークシートに数値を記入してください。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21</xdr:row>
      <xdr:rowOff>61912</xdr:rowOff>
    </xdr:from>
    <xdr:to>
      <xdr:col>8</xdr:col>
      <xdr:colOff>38099</xdr:colOff>
      <xdr:row>39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21</xdr:row>
      <xdr:rowOff>42862</xdr:rowOff>
    </xdr:from>
    <xdr:to>
      <xdr:col>14</xdr:col>
      <xdr:colOff>723899</xdr:colOff>
      <xdr:row>40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17</xdr:row>
      <xdr:rowOff>28575</xdr:rowOff>
    </xdr:from>
    <xdr:to>
      <xdr:col>10</xdr:col>
      <xdr:colOff>628650</xdr:colOff>
      <xdr:row>33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0</xdr:row>
      <xdr:rowOff>57150</xdr:rowOff>
    </xdr:from>
    <xdr:to>
      <xdr:col>15</xdr:col>
      <xdr:colOff>447675</xdr:colOff>
      <xdr:row>14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238125</xdr:colOff>
      <xdr:row>19</xdr:row>
      <xdr:rowOff>28575</xdr:rowOff>
    </xdr:from>
    <xdr:to>
      <xdr:col>41</xdr:col>
      <xdr:colOff>542925</xdr:colOff>
      <xdr:row>38</xdr:row>
      <xdr:rowOff>219076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10400" y="3124200"/>
          <a:ext cx="5105400" cy="30194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適合基準の確認欄について</a:t>
          </a:r>
          <a:endParaRPr kumimoji="1" lang="en-US" altLang="ja-JP" sz="1400"/>
        </a:p>
        <a:p>
          <a:pPr algn="l"/>
          <a:r>
            <a:rPr kumimoji="1" lang="ja-JP" altLang="en-US" sz="1400"/>
            <a:t>〇該当欄</a:t>
          </a:r>
          <a:endParaRPr kumimoji="1" lang="en-US" altLang="ja-JP" sz="1400"/>
        </a:p>
        <a:p>
          <a:pPr algn="l"/>
          <a:r>
            <a:rPr kumimoji="1" lang="ja-JP" altLang="en-US" sz="1400"/>
            <a:t>　３つのうちいずれかに〇をつけてください</a:t>
          </a:r>
          <a:endParaRPr kumimoji="1" lang="en-US" altLang="ja-JP" sz="1400"/>
        </a:p>
        <a:p>
          <a:pPr algn="l"/>
          <a:endParaRPr kumimoji="1" lang="en-US" altLang="ja-JP" sz="800"/>
        </a:p>
        <a:p>
          <a:pPr algn="l"/>
          <a:r>
            <a:rPr kumimoji="1" lang="ja-JP" altLang="en-US" sz="1400"/>
            <a:t>〇規格、実証番号</a:t>
          </a:r>
          <a:endParaRPr kumimoji="1" lang="en-US" altLang="ja-JP" sz="1400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JIS</a:t>
          </a:r>
          <a:r>
            <a:rPr kumimoji="1" lang="ja-JP" altLang="en-US" sz="1400"/>
            <a:t>規格の番号（</a:t>
          </a:r>
          <a:r>
            <a:rPr kumimoji="1" lang="en-US" altLang="ja-JP" sz="1400"/>
            <a:t>K5675</a:t>
          </a:r>
          <a:r>
            <a:rPr kumimoji="1" lang="ja-JP" altLang="en-US" sz="1400"/>
            <a:t>、</a:t>
          </a:r>
          <a:r>
            <a:rPr kumimoji="1" lang="en-US" altLang="ja-JP" sz="1400"/>
            <a:t>A1420</a:t>
          </a:r>
          <a:r>
            <a:rPr kumimoji="1" lang="ja-JP" altLang="en-US" sz="1400"/>
            <a:t>など）、</a:t>
          </a:r>
          <a:endParaRPr kumimoji="1" lang="en-US" altLang="ja-JP" sz="1400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ETV</a:t>
          </a:r>
          <a:r>
            <a:rPr kumimoji="1" lang="ja-JP" altLang="en-US" sz="1400"/>
            <a:t>の実証番号（</a:t>
          </a:r>
          <a:r>
            <a:rPr kumimoji="1" lang="en-US" altLang="ja-JP" sz="1400"/>
            <a:t>051-0957</a:t>
          </a:r>
          <a:r>
            <a:rPr kumimoji="1" lang="ja-JP" altLang="en-US" sz="1400"/>
            <a:t>など）を記入してください。</a:t>
          </a:r>
          <a:endParaRPr kumimoji="1" lang="en-US" altLang="ja-JP" sz="1400"/>
        </a:p>
        <a:p>
          <a:pPr algn="l"/>
          <a:endParaRPr kumimoji="1" lang="en-US" altLang="ja-JP" sz="800"/>
        </a:p>
        <a:p>
          <a:pPr algn="l"/>
          <a:r>
            <a:rPr kumimoji="1" lang="ja-JP" altLang="en-US" sz="1400"/>
            <a:t>〇区分</a:t>
          </a:r>
          <a:endParaRPr kumimoji="1" lang="en-US" altLang="ja-JP" sz="1400"/>
        </a:p>
        <a:p>
          <a:pPr algn="l"/>
          <a:r>
            <a:rPr kumimoji="1" lang="ja-JP" altLang="en-US" sz="1400"/>
            <a:t>　熱貫流室、日射熱吸収率、日射熱取得率のいずれか該当するものを選択してください。</a:t>
          </a:r>
          <a:endParaRPr kumimoji="1" lang="en-US" altLang="ja-JP" sz="1400"/>
        </a:p>
        <a:p>
          <a:pPr algn="l"/>
          <a:endParaRPr kumimoji="1" lang="en-US" altLang="ja-JP" sz="800"/>
        </a:p>
        <a:p>
          <a:pPr algn="l"/>
          <a:r>
            <a:rPr kumimoji="1" lang="ja-JP" altLang="en-US" sz="1400"/>
            <a:t>〇数値</a:t>
          </a:r>
          <a:endParaRPr kumimoji="1" lang="en-US" altLang="ja-JP" sz="1400"/>
        </a:p>
        <a:p>
          <a:pPr algn="l"/>
          <a:r>
            <a:rPr kumimoji="1" lang="ja-JP" altLang="en-US" sz="1400"/>
            <a:t>　</a:t>
          </a:r>
          <a:r>
            <a:rPr kumimoji="1" lang="en-US" altLang="ja-JP" sz="1400"/>
            <a:t>JIS</a:t>
          </a:r>
          <a:r>
            <a:rPr kumimoji="1" lang="ja-JP" altLang="en-US" sz="1400"/>
            <a:t>等の数値入力してください（</a:t>
          </a:r>
          <a:r>
            <a:rPr kumimoji="1" lang="en-US" altLang="ja-JP" sz="1400"/>
            <a:t>86.7%</a:t>
          </a:r>
          <a:r>
            <a:rPr kumimoji="1" lang="ja-JP" altLang="en-US" sz="1400"/>
            <a:t>など）</a:t>
          </a:r>
        </a:p>
      </xdr:txBody>
    </xdr:sp>
    <xdr:clientData/>
  </xdr:twoCellAnchor>
  <xdr:twoCellAnchor>
    <xdr:from>
      <xdr:col>34</xdr:col>
      <xdr:colOff>257175</xdr:colOff>
      <xdr:row>39</xdr:row>
      <xdr:rowOff>133350</xdr:rowOff>
    </xdr:from>
    <xdr:to>
      <xdr:col>41</xdr:col>
      <xdr:colOff>561975</xdr:colOff>
      <xdr:row>44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29450" y="6324600"/>
          <a:ext cx="5105400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法定耐用年数またはメーカー保証期間欄について</a:t>
          </a:r>
          <a:endParaRPr kumimoji="1" lang="en-US" altLang="ja-JP" sz="1400"/>
        </a:p>
        <a:p>
          <a:pPr algn="l"/>
          <a:r>
            <a:rPr kumimoji="1" lang="ja-JP" altLang="en-US" sz="1400"/>
            <a:t>　必ず記入してください。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51</xdr:row>
      <xdr:rowOff>164122</xdr:rowOff>
    </xdr:from>
    <xdr:to>
      <xdr:col>6</xdr:col>
      <xdr:colOff>674077</xdr:colOff>
      <xdr:row>53</xdr:row>
      <xdr:rowOff>95542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209778" y="8919795"/>
          <a:ext cx="1662626" cy="2977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図１　方位の解釈の例１</a:t>
          </a:r>
        </a:p>
      </xdr:txBody>
    </xdr:sp>
    <xdr:clientData/>
  </xdr:twoCellAnchor>
  <xdr:twoCellAnchor>
    <xdr:from>
      <xdr:col>8</xdr:col>
      <xdr:colOff>300404</xdr:colOff>
      <xdr:row>51</xdr:row>
      <xdr:rowOff>156502</xdr:rowOff>
    </xdr:from>
    <xdr:to>
      <xdr:col>10</xdr:col>
      <xdr:colOff>581759</xdr:colOff>
      <xdr:row>53</xdr:row>
      <xdr:rowOff>87922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5876192" y="8912175"/>
          <a:ext cx="1695452" cy="2977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図２　方位の解釈の例２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30</xdr:row>
          <xdr:rowOff>114300</xdr:rowOff>
        </xdr:from>
        <xdr:to>
          <xdr:col>2</xdr:col>
          <xdr:colOff>133350</xdr:colOff>
          <xdr:row>31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4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屋根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30</xdr:row>
          <xdr:rowOff>104775</xdr:rowOff>
        </xdr:from>
        <xdr:to>
          <xdr:col>4</xdr:col>
          <xdr:colOff>295275</xdr:colOff>
          <xdr:row>31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4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外壁断熱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30</xdr:row>
          <xdr:rowOff>104775</xdr:rowOff>
        </xdr:from>
        <xdr:to>
          <xdr:col>8</xdr:col>
          <xdr:colOff>438150</xdr:colOff>
          <xdr:row>31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4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窓断熱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30</xdr:row>
          <xdr:rowOff>104775</xdr:rowOff>
        </xdr:from>
        <xdr:to>
          <xdr:col>11</xdr:col>
          <xdr:colOff>133350</xdr:colOff>
          <xdr:row>31</xdr:row>
          <xdr:rowOff>209550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4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窓遮熱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30</xdr:row>
          <xdr:rowOff>114300</xdr:rowOff>
        </xdr:from>
        <xdr:to>
          <xdr:col>6</xdr:col>
          <xdr:colOff>485775</xdr:colOff>
          <xdr:row>31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4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外壁遮熱</a:t>
              </a:r>
            </a:p>
          </xdr:txBody>
        </xdr:sp>
        <xdr:clientData fLocksWithSheet="0"/>
      </xdr:twoCellAnchor>
    </mc:Choice>
    <mc:Fallback/>
  </mc:AlternateContent>
  <xdr:twoCellAnchor>
    <xdr:from>
      <xdr:col>4</xdr:col>
      <xdr:colOff>139211</xdr:colOff>
      <xdr:row>38</xdr:row>
      <xdr:rowOff>105265</xdr:rowOff>
    </xdr:from>
    <xdr:to>
      <xdr:col>7</xdr:col>
      <xdr:colOff>417634</xdr:colOff>
      <xdr:row>51</xdr:row>
      <xdr:rowOff>7326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pSpPr/>
      </xdr:nvGrpSpPr>
      <xdr:grpSpPr>
        <a:xfrm>
          <a:off x="2949086" y="6877540"/>
          <a:ext cx="2354873" cy="2378561"/>
          <a:chOff x="2952749" y="6479688"/>
          <a:chExt cx="2351943" cy="2283311"/>
        </a:xfrm>
      </xdr:grpSpPr>
      <xdr:grpSp>
        <xdr:nvGrpSpPr>
          <xdr:cNvPr id="58" name="グループ化 57"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GrpSpPr/>
        </xdr:nvGrpSpPr>
        <xdr:grpSpPr>
          <a:xfrm>
            <a:off x="3033344" y="6479688"/>
            <a:ext cx="2271348" cy="2283311"/>
            <a:chOff x="3033344" y="6479688"/>
            <a:chExt cx="2271348" cy="2283311"/>
          </a:xfrm>
        </xdr:grpSpPr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/>
          </xdr:nvSpPr>
          <xdr:spPr>
            <a:xfrm rot="720000">
              <a:off x="3575002" y="7148045"/>
              <a:ext cx="1060066" cy="983714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900"/>
            </a:p>
          </xdr:txBody>
        </xdr: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CxnSpPr/>
          </xdr:nvCxnSpPr>
          <xdr:spPr>
            <a:xfrm>
              <a:off x="3165023" y="7597360"/>
              <a:ext cx="1873761" cy="13783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直線コネクタ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CxnSpPr/>
          </xdr:nvCxnSpPr>
          <xdr:spPr>
            <a:xfrm>
              <a:off x="4055499" y="6803211"/>
              <a:ext cx="4953" cy="1709482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CxnSpPr/>
          </xdr:nvCxnSpPr>
          <xdr:spPr>
            <a:xfrm rot="2700000">
              <a:off x="3025634" y="7674930"/>
              <a:ext cx="2176138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CxnSpPr/>
          </xdr:nvCxnSpPr>
          <xdr:spPr>
            <a:xfrm rot="18900000">
              <a:off x="3215867" y="7610713"/>
              <a:ext cx="1687933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四角形吹き出し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/>
          </xdr:nvSpPr>
          <xdr:spPr>
            <a:xfrm>
              <a:off x="3033344" y="6479688"/>
              <a:ext cx="682854" cy="230604"/>
            </a:xfrm>
            <a:prstGeom prst="wedgeRectCallout">
              <a:avLst>
                <a:gd name="adj1" fmla="val 36718"/>
                <a:gd name="adj2" fmla="val 271978"/>
              </a:avLst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ln>
                    <a:solidFill>
                      <a:sysClr val="windowText" lastClr="000000"/>
                    </a:solidFill>
                  </a:ln>
                  <a:solidFill>
                    <a:sysClr val="windowText" lastClr="000000"/>
                  </a:solidFill>
                </a:rPr>
                <a:t>対策面</a:t>
              </a:r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 txBox="1"/>
          </xdr:nvSpPr>
          <xdr:spPr>
            <a:xfrm>
              <a:off x="3911639" y="6513341"/>
              <a:ext cx="193190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</a:t>
              </a:r>
            </a:p>
          </xdr:txBody>
        </xdr:sp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5057226" y="7502707"/>
              <a:ext cx="149980" cy="16821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東</a:t>
              </a:r>
            </a:p>
          </xdr:txBody>
        </xdr:sp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/>
          </xdr:nvSpPr>
          <xdr:spPr>
            <a:xfrm>
              <a:off x="3054995" y="6732083"/>
              <a:ext cx="512577" cy="2486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北西</a:t>
              </a:r>
            </a:p>
          </xdr:txBody>
        </xdr: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/>
          </xdr:nvSpPr>
          <xdr:spPr>
            <a:xfrm>
              <a:off x="4553333" y="6714567"/>
              <a:ext cx="578882" cy="2574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北東</a:t>
              </a:r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/>
          </xdr:nvSpPr>
          <xdr:spPr>
            <a:xfrm>
              <a:off x="3095927" y="7641718"/>
              <a:ext cx="193190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西</a:t>
              </a: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 txBox="1"/>
          </xdr:nvSpPr>
          <xdr:spPr>
            <a:xfrm>
              <a:off x="4731662" y="8355063"/>
              <a:ext cx="573030" cy="2244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南東</a:t>
              </a:r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 txBox="1"/>
          </xdr:nvSpPr>
          <xdr:spPr>
            <a:xfrm>
              <a:off x="3215866" y="8296684"/>
              <a:ext cx="506537" cy="2304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南西</a:t>
              </a:r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 txBox="1"/>
          </xdr:nvSpPr>
          <xdr:spPr>
            <a:xfrm>
              <a:off x="3901594" y="8471825"/>
              <a:ext cx="193190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</a:t>
              </a:r>
            </a:p>
          </xdr:txBody>
        </xdr:sp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CxnSpPr/>
          </xdr:nvCxnSpPr>
          <xdr:spPr>
            <a:xfrm flipH="1" flipV="1">
              <a:off x="3106499" y="7380985"/>
              <a:ext cx="951031" cy="224102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/>
          </xdr:nvSpPr>
          <xdr:spPr>
            <a:xfrm rot="720000">
              <a:off x="3508856" y="7388714"/>
              <a:ext cx="95103" cy="92732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0" name="円弧 39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/>
          </xdr:nvSpPr>
          <xdr:spPr>
            <a:xfrm flipH="1">
              <a:off x="3252809" y="7427352"/>
              <a:ext cx="219468" cy="401838"/>
            </a:xfrm>
            <a:prstGeom prst="arc">
              <a:avLst/>
            </a:prstGeom>
            <a:ln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SpPr txBox="1"/>
          </xdr:nvSpPr>
          <xdr:spPr>
            <a:xfrm>
              <a:off x="3260126" y="7404167"/>
              <a:ext cx="270678" cy="2112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en-US" altLang="ja-JP" sz="900" b="1">
                  <a:latin typeface="+mn-ea"/>
                  <a:ea typeface="+mn-ea"/>
                </a:rPr>
                <a:t>α</a:t>
              </a:r>
              <a:endParaRPr kumimoji="1" lang="ja-JP" altLang="en-US" sz="900" b="1">
                <a:latin typeface="+mn-ea"/>
                <a:ea typeface="+mn-ea"/>
              </a:endParaRPr>
            </a:p>
          </xdr:txBody>
        </xdr:sp>
      </xdr:grp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 txBox="1"/>
        </xdr:nvSpPr>
        <xdr:spPr>
          <a:xfrm>
            <a:off x="2952749" y="7400192"/>
            <a:ext cx="593481" cy="2112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>
            <a:noAutofit/>
          </a:bodyPr>
          <a:lstStyle/>
          <a:p>
            <a:r>
              <a:rPr kumimoji="1" lang="en-US" altLang="ja-JP" sz="900" b="1">
                <a:latin typeface="+mn-ea"/>
                <a:ea typeface="+mn-ea"/>
              </a:rPr>
              <a:t>12°</a:t>
            </a:r>
            <a:endParaRPr kumimoji="1" lang="ja-JP" altLang="en-US" sz="900" b="1">
              <a:latin typeface="+mn-ea"/>
              <a:ea typeface="+mn-ea"/>
            </a:endParaRPr>
          </a:p>
        </xdr:txBody>
      </xdr:sp>
    </xdr:grpSp>
    <xdr:clientData/>
  </xdr:twoCellAnchor>
  <xdr:twoCellAnchor>
    <xdr:from>
      <xdr:col>7</xdr:col>
      <xdr:colOff>402980</xdr:colOff>
      <xdr:row>38</xdr:row>
      <xdr:rowOff>154693</xdr:rowOff>
    </xdr:from>
    <xdr:to>
      <xdr:col>11</xdr:col>
      <xdr:colOff>315354</xdr:colOff>
      <xdr:row>51</xdr:row>
      <xdr:rowOff>1169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pSpPr/>
      </xdr:nvGrpSpPr>
      <xdr:grpSpPr>
        <a:xfrm>
          <a:off x="5289305" y="6926968"/>
          <a:ext cx="2446024" cy="2322976"/>
          <a:chOff x="5450608" y="6529116"/>
          <a:chExt cx="2528708" cy="2227726"/>
        </a:xfrm>
      </xdr:grpSpPr>
      <xdr:grpSp>
        <xdr:nvGrpSpPr>
          <xdr:cNvPr id="57" name="グループ化 56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GrpSpPr/>
        </xdr:nvGrpSpPr>
        <xdr:grpSpPr>
          <a:xfrm>
            <a:off x="5450608" y="6529116"/>
            <a:ext cx="2528708" cy="2227726"/>
            <a:chOff x="7201739" y="6756253"/>
            <a:chExt cx="2528707" cy="2227726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/>
          </xdr:nvSpPr>
          <xdr:spPr>
            <a:xfrm rot="1818140">
              <a:off x="7797209" y="7334658"/>
              <a:ext cx="1185691" cy="983319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900"/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CxnSpPr/>
          </xdr:nvCxnSpPr>
          <xdr:spPr>
            <a:xfrm>
              <a:off x="7567271" y="7824860"/>
              <a:ext cx="1900430" cy="0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CxnSpPr/>
          </xdr:nvCxnSpPr>
          <xdr:spPr>
            <a:xfrm flipH="1">
              <a:off x="8369275" y="6990352"/>
              <a:ext cx="0" cy="1754140"/>
            </a:xfrm>
            <a:prstGeom prst="line">
              <a:avLst/>
            </a:prstGeom>
            <a:ln w="12700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CxnSpPr/>
          </xdr:nvCxnSpPr>
          <xdr:spPr>
            <a:xfrm rot="2700000">
              <a:off x="7339524" y="7890511"/>
              <a:ext cx="2186937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CxnSpPr/>
          </xdr:nvCxnSpPr>
          <xdr:spPr>
            <a:xfrm rot="18900000">
              <a:off x="7428757" y="7826320"/>
              <a:ext cx="1887963" cy="0"/>
            </a:xfrm>
            <a:prstGeom prst="line">
              <a:avLst/>
            </a:prstGeom>
            <a:ln w="9525">
              <a:solidFill>
                <a:sysClr val="windowText" lastClr="00000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" name="四角形吹き出し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/>
          </xdr:nvSpPr>
          <xdr:spPr>
            <a:xfrm>
              <a:off x="7414845" y="6756253"/>
              <a:ext cx="644640" cy="204323"/>
            </a:xfrm>
            <a:prstGeom prst="wedgeRectCallout">
              <a:avLst>
                <a:gd name="adj1" fmla="val 41541"/>
                <a:gd name="adj2" fmla="val 188693"/>
              </a:avLst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900">
                  <a:ln>
                    <a:solidFill>
                      <a:sysClr val="windowText" lastClr="000000"/>
                    </a:solidFill>
                  </a:ln>
                  <a:solidFill>
                    <a:sysClr val="windowText" lastClr="000000"/>
                  </a:solidFill>
                </a:rPr>
                <a:t>対策面</a:t>
              </a: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8200940" y="6763042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</a:t>
              </a:r>
            </a:p>
          </xdr:txBody>
        </xdr:sp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 txBox="1"/>
          </xdr:nvSpPr>
          <xdr:spPr>
            <a:xfrm>
              <a:off x="9451079" y="7706687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東</a:t>
              </a:r>
            </a:p>
          </xdr:txBody>
        </xdr:sp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 txBox="1"/>
          </xdr:nvSpPr>
          <xdr:spPr>
            <a:xfrm>
              <a:off x="7201739" y="6929404"/>
              <a:ext cx="631484" cy="21812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北西</a:t>
              </a:r>
            </a:p>
          </xdr:txBody>
        </xdr:sp>
        <xdr:sp macro="" textlink="">
          <xdr:nvSpPr>
            <xdr:cNvPr id="25" name="テキスト ボックス 2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 txBox="1"/>
          </xdr:nvSpPr>
          <xdr:spPr>
            <a:xfrm>
              <a:off x="8935802" y="6921087"/>
              <a:ext cx="583213" cy="20893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北東</a:t>
              </a:r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/>
          </xdr:nvSpPr>
          <xdr:spPr>
            <a:xfrm>
              <a:off x="7280028" y="7701722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西</a:t>
              </a:r>
            </a:p>
          </xdr:txBody>
        </xdr:sp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 txBox="1"/>
          </xdr:nvSpPr>
          <xdr:spPr>
            <a:xfrm>
              <a:off x="9135264" y="8558700"/>
              <a:ext cx="595182" cy="2339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南東</a:t>
              </a:r>
            </a:p>
          </xdr:txBody>
        </xdr: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 txBox="1"/>
          </xdr:nvSpPr>
          <xdr:spPr>
            <a:xfrm>
              <a:off x="7439836" y="8500345"/>
              <a:ext cx="556879" cy="2507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南西</a:t>
              </a:r>
            </a:p>
          </xdr:txBody>
        </xdr:sp>
        <xdr:sp macro="" textlink="">
          <xdr:nvSpPr>
            <xdr:cNvPr id="29" name="テキスト ボックス 28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 txBox="1"/>
          </xdr:nvSpPr>
          <xdr:spPr>
            <a:xfrm>
              <a:off x="8214938" y="8649722"/>
              <a:ext cx="216084" cy="211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ja-JP" altLang="en-US" sz="900">
                  <a:latin typeface="+mn-ea"/>
                  <a:ea typeface="+mn-ea"/>
                </a:rPr>
                <a:t>南</a:t>
              </a:r>
            </a:p>
          </xdr:txBody>
        </xdr:sp>
        <xdr:cxnSp macro="">
          <xdr:nvCxnSpPr>
            <xdr:cNvPr id="56" name="直線コネクタ 55">
              <a:extLst>
                <a:ext uri="{FF2B5EF4-FFF2-40B4-BE49-F238E27FC236}">
                  <a16:creationId xmlns:a16="http://schemas.microsoft.com/office/drawing/2014/main" id="{00000000-0008-0000-0400-000038000000}"/>
                </a:ext>
              </a:extLst>
            </xdr:cNvPr>
            <xdr:cNvCxnSpPr/>
          </xdr:nvCxnSpPr>
          <xdr:spPr>
            <a:xfrm flipH="1" flipV="1">
              <a:off x="7612673" y="7385538"/>
              <a:ext cx="747349" cy="432289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00000000-0008-0000-0400-00003C000000}"/>
                </a:ext>
              </a:extLst>
            </xdr:cNvPr>
            <xdr:cNvSpPr/>
          </xdr:nvSpPr>
          <xdr:spPr>
            <a:xfrm rot="1800000">
              <a:off x="7803174" y="7422173"/>
              <a:ext cx="95250" cy="87923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1" name="円弧 60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/>
          </xdr:nvSpPr>
          <xdr:spPr>
            <a:xfrm flipH="1">
              <a:off x="7605346" y="7510095"/>
              <a:ext cx="293077" cy="549519"/>
            </a:xfrm>
            <a:prstGeom prst="arc">
              <a:avLst>
                <a:gd name="adj1" fmla="val 16200000"/>
                <a:gd name="adj2" fmla="val 600488"/>
              </a:avLst>
            </a:prstGeom>
            <a:ln>
              <a:solidFill>
                <a:srgbClr val="FF0000"/>
              </a:solidFill>
              <a:headEnd type="triangl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2" name="テキスト ボックス 61">
              <a:extLst>
                <a:ext uri="{FF2B5EF4-FFF2-40B4-BE49-F238E27FC236}">
                  <a16:creationId xmlns:a16="http://schemas.microsoft.com/office/drawing/2014/main" id="{00000000-0008-0000-0400-00003E000000}"/>
                </a:ext>
              </a:extLst>
            </xdr:cNvPr>
            <xdr:cNvSpPr txBox="1"/>
          </xdr:nvSpPr>
          <xdr:spPr>
            <a:xfrm>
              <a:off x="7554057" y="7539404"/>
              <a:ext cx="271097" cy="20028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overflow" horzOverflow="overflow" wrap="square" rtlCol="0" anchor="t">
              <a:noAutofit/>
            </a:bodyPr>
            <a:lstStyle/>
            <a:p>
              <a:r>
                <a:rPr kumimoji="1" lang="en-US" altLang="ja-JP" sz="900" b="1">
                  <a:latin typeface="+mn-ea"/>
                  <a:ea typeface="+mn-ea"/>
                </a:rPr>
                <a:t>α</a:t>
              </a:r>
              <a:endParaRPr kumimoji="1" lang="ja-JP" altLang="en-US" sz="900" b="1">
                <a:latin typeface="+mn-ea"/>
                <a:ea typeface="+mn-ea"/>
              </a:endParaRPr>
            </a:p>
          </xdr:txBody>
        </xdr:sp>
      </xdr:grp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 txBox="1"/>
        </xdr:nvSpPr>
        <xdr:spPr>
          <a:xfrm>
            <a:off x="5568463" y="7253654"/>
            <a:ext cx="593481" cy="2112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>
            <a:noAutofit/>
          </a:bodyPr>
          <a:lstStyle/>
          <a:p>
            <a:r>
              <a:rPr kumimoji="1" lang="en-US" altLang="ja-JP" sz="900" b="1">
                <a:latin typeface="+mn-ea"/>
                <a:ea typeface="+mn-ea"/>
              </a:rPr>
              <a:t>30°</a:t>
            </a:r>
            <a:endParaRPr kumimoji="1" lang="ja-JP" altLang="en-US" sz="900" b="1">
              <a:latin typeface="+mn-ea"/>
              <a:ea typeface="+mn-e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214593</xdr:colOff>
      <xdr:row>0</xdr:row>
      <xdr:rowOff>14223</xdr:rowOff>
    </xdr:from>
    <xdr:to>
      <xdr:col>16</xdr:col>
      <xdr:colOff>628565</xdr:colOff>
      <xdr:row>1</xdr:row>
      <xdr:rowOff>324970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73917" y="14223"/>
          <a:ext cx="6162589" cy="34436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本シートには直接記入はできません。データ記入は「厚さ対策計算シート」から行います。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542924</xdr:colOff>
      <xdr:row>19</xdr:row>
      <xdr:rowOff>87128</xdr:rowOff>
    </xdr:from>
    <xdr:ext cx="3181351" cy="825867"/>
    <xdr:sp macro="" textlink="">
      <xdr:nvSpPr>
        <xdr:cNvPr id="2" name="四角形吹き出し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04924" y="5583053"/>
          <a:ext cx="3181351" cy="825867"/>
        </a:xfrm>
        <a:prstGeom prst="wedgeRectCallout">
          <a:avLst>
            <a:gd name="adj1" fmla="val 21947"/>
            <a:gd name="adj2" fmla="val -103352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診断を希望する事業所のエネルギー使用量、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過去３年分の数値を入力ください。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（単位にご注意ください）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（車両の燃料は対象外です）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582707</xdr:colOff>
      <xdr:row>5</xdr:row>
      <xdr:rowOff>0</xdr:rowOff>
    </xdr:from>
    <xdr:to>
      <xdr:col>15</xdr:col>
      <xdr:colOff>429046</xdr:colOff>
      <xdr:row>32</xdr:row>
      <xdr:rowOff>76690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942" y="862853"/>
          <a:ext cx="8205927" cy="46150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9</xdr:row>
      <xdr:rowOff>38100</xdr:rowOff>
    </xdr:from>
    <xdr:to>
      <xdr:col>8</xdr:col>
      <xdr:colOff>104127</xdr:colOff>
      <xdr:row>30</xdr:row>
      <xdr:rowOff>161460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81150"/>
          <a:ext cx="5190477" cy="3723810"/>
        </a:xfrm>
        <a:prstGeom prst="rect">
          <a:avLst/>
        </a:prstGeom>
      </xdr:spPr>
    </xdr:pic>
    <xdr:clientData/>
  </xdr:twoCellAnchor>
  <xdr:twoCellAnchor>
    <xdr:from>
      <xdr:col>1</xdr:col>
      <xdr:colOff>352425</xdr:colOff>
      <xdr:row>17</xdr:row>
      <xdr:rowOff>133350</xdr:rowOff>
    </xdr:from>
    <xdr:to>
      <xdr:col>7</xdr:col>
      <xdr:colOff>495300</xdr:colOff>
      <xdr:row>21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38225" y="3048000"/>
          <a:ext cx="4581525" cy="561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22</xdr:row>
      <xdr:rowOff>66675</xdr:rowOff>
    </xdr:from>
    <xdr:to>
      <xdr:col>7</xdr:col>
      <xdr:colOff>571500</xdr:colOff>
      <xdr:row>25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1114425" y="3838575"/>
          <a:ext cx="4581525" cy="561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666750</xdr:colOff>
      <xdr:row>30</xdr:row>
      <xdr:rowOff>114301</xdr:rowOff>
    </xdr:from>
    <xdr:to>
      <xdr:col>7</xdr:col>
      <xdr:colOff>425961</xdr:colOff>
      <xdr:row>49</xdr:row>
      <xdr:rowOff>85725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5257801"/>
          <a:ext cx="4864611" cy="3228974"/>
        </a:xfrm>
        <a:prstGeom prst="rect">
          <a:avLst/>
        </a:prstGeom>
      </xdr:spPr>
    </xdr:pic>
    <xdr:clientData/>
  </xdr:twoCellAnchor>
  <xdr:twoCellAnchor>
    <xdr:from>
      <xdr:col>3</xdr:col>
      <xdr:colOff>371475</xdr:colOff>
      <xdr:row>32</xdr:row>
      <xdr:rowOff>114300</xdr:rowOff>
    </xdr:from>
    <xdr:to>
      <xdr:col>5</xdr:col>
      <xdr:colOff>314325</xdr:colOff>
      <xdr:row>42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2790825" y="5600700"/>
          <a:ext cx="1314450" cy="1600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31</xdr:row>
      <xdr:rowOff>85725</xdr:rowOff>
    </xdr:from>
    <xdr:to>
      <xdr:col>9</xdr:col>
      <xdr:colOff>228600</xdr:colOff>
      <xdr:row>39</xdr:row>
      <xdr:rowOff>161925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5324475" y="5400675"/>
          <a:ext cx="1400175" cy="1447800"/>
        </a:xfrm>
        <a:prstGeom prst="wedgeRectCallout">
          <a:avLst>
            <a:gd name="adj1" fmla="val -144642"/>
            <a:gd name="adj2" fmla="val 546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熱貫流率は、外表面と内表面の熱伝達率の数値の取り方による”誤差”である。本シートは上記の計算根拠と整合し、</a:t>
          </a:r>
          <a:r>
            <a:rPr kumimoji="1" lang="en-US" altLang="ja-JP" sz="1100">
              <a:solidFill>
                <a:srgbClr val="FF0000"/>
              </a:solidFill>
            </a:rPr>
            <a:t>3.91</a:t>
          </a:r>
          <a:r>
            <a:rPr kumimoji="1" lang="ja-JP" altLang="en-US" sz="1100">
              <a:solidFill>
                <a:srgbClr val="FF0000"/>
              </a:solidFill>
            </a:rPr>
            <a:t>を採用する。</a:t>
          </a:r>
        </a:p>
      </xdr:txBody>
    </xdr:sp>
    <xdr:clientData/>
  </xdr:twoCellAnchor>
  <xdr:twoCellAnchor>
    <xdr:from>
      <xdr:col>2</xdr:col>
      <xdr:colOff>38100</xdr:colOff>
      <xdr:row>11</xdr:row>
      <xdr:rowOff>66675</xdr:rowOff>
    </xdr:from>
    <xdr:to>
      <xdr:col>7</xdr:col>
      <xdr:colOff>495300</xdr:colOff>
      <xdr:row>17</xdr:row>
      <xdr:rowOff>95250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1114425" y="1952625"/>
          <a:ext cx="4505325" cy="10572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12</xdr:row>
      <xdr:rowOff>57150</xdr:rowOff>
    </xdr:from>
    <xdr:to>
      <xdr:col>7</xdr:col>
      <xdr:colOff>619125</xdr:colOff>
      <xdr:row>17</xdr:row>
      <xdr:rowOff>28575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flipV="1">
          <a:off x="1162050" y="2114550"/>
          <a:ext cx="4581525" cy="8286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26</xdr:row>
      <xdr:rowOff>57150</xdr:rowOff>
    </xdr:from>
    <xdr:to>
      <xdr:col>7</xdr:col>
      <xdr:colOff>152400</xdr:colOff>
      <xdr:row>30</xdr:row>
      <xdr:rowOff>76200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1162050" y="4514850"/>
          <a:ext cx="4114800" cy="7048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26</xdr:row>
      <xdr:rowOff>19050</xdr:rowOff>
    </xdr:from>
    <xdr:to>
      <xdr:col>7</xdr:col>
      <xdr:colOff>333375</xdr:colOff>
      <xdr:row>30</xdr:row>
      <xdr:rowOff>85725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flipV="1">
          <a:off x="1038225" y="4476750"/>
          <a:ext cx="4419600" cy="7524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161923</xdr:colOff>
      <xdr:row>21</xdr:row>
      <xdr:rowOff>80962</xdr:rowOff>
    </xdr:from>
    <xdr:to>
      <xdr:col>8</xdr:col>
      <xdr:colOff>66674</xdr:colOff>
      <xdr:row>39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21</xdr:row>
      <xdr:rowOff>85725</xdr:rowOff>
    </xdr:from>
    <xdr:to>
      <xdr:col>14</xdr:col>
      <xdr:colOff>742950</xdr:colOff>
      <xdr:row>39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05053\Desktop\R2.4.2&#27096;&#24335;&#31532;2-1&#21495;&#65288;&#20107;&#26989;&#35336;&#30011;&#26360;_&#35373;&#20633;&#23566;&#20837;&#65289;&#20196;&#21644;2&#24180;&#27096;&#2433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実施者・事業内容"/>
      <sheetName val="資金計画"/>
      <sheetName val="排出量算定（照明）標準時間ver"/>
      <sheetName val="照明算定(総括表）"/>
      <sheetName val="照明算定(導入前1)"/>
      <sheetName val="照明算定(導入前2)"/>
      <sheetName val="照明挿入前(追加）"/>
      <sheetName val="照明算定(導入後1)"/>
      <sheetName val="照明算定(導入後2)"/>
      <sheetName val="照明導入後(追加）"/>
      <sheetName val="ボイラ排出量算定"/>
      <sheetName val="ボイラ排出量算定（追加)"/>
      <sheetName val="空調導入前算定"/>
      <sheetName val="空調導入後算定"/>
      <sheetName val="Sheet1"/>
      <sheetName val="排出量算定（太陽光）"/>
      <sheetName val="排出量算定(コンプレッサー）"/>
      <sheetName val="排出量算定(任意)"/>
      <sheetName val="比較図"/>
      <sheetName val="省エネ診断"/>
      <sheetName val="資産登録"/>
      <sheetName val="換算シート"/>
    </sheetNames>
    <sheetDataSet>
      <sheetData sheetId="0">
        <row r="97">
          <cell r="A97" t="str">
            <v>農業・林業</v>
          </cell>
          <cell r="B97" t="str">
            <v>漁業</v>
          </cell>
          <cell r="C97" t="str">
            <v>鉱業・採石業・砂利採取業</v>
          </cell>
          <cell r="D97" t="str">
            <v>建設業</v>
          </cell>
          <cell r="E97" t="str">
            <v>製造業</v>
          </cell>
          <cell r="F97" t="str">
            <v>電気・ガス・熱供給・水道業</v>
          </cell>
          <cell r="G97" t="str">
            <v>情報通信業</v>
          </cell>
          <cell r="H97" t="str">
            <v>運輸業・郵便業</v>
          </cell>
          <cell r="I97" t="str">
            <v>卸売業・小売業</v>
          </cell>
          <cell r="J97" t="str">
            <v>金融業・保険業</v>
          </cell>
          <cell r="K97" t="str">
            <v>不動産業・物品賃貸業</v>
          </cell>
          <cell r="L97" t="str">
            <v>学術研究・専門・技術サービス業</v>
          </cell>
          <cell r="M97" t="str">
            <v>宿泊業・飲食サービス業</v>
          </cell>
          <cell r="N97" t="str">
            <v>生活関連サービス業・娯楽業</v>
          </cell>
          <cell r="O97" t="str">
            <v>教育・学習支援業</v>
          </cell>
          <cell r="P97" t="str">
            <v>医療・福祉</v>
          </cell>
          <cell r="Q97" t="str">
            <v>複合サービス事業</v>
          </cell>
          <cell r="R97" t="str">
            <v>サービス業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9">
          <cell r="BB29" t="str">
            <v>1995年以前</v>
          </cell>
          <cell r="BC29">
            <v>1995</v>
          </cell>
          <cell r="BD29">
            <v>1.05</v>
          </cell>
          <cell r="BE29">
            <v>1.0416666666666667</v>
          </cell>
          <cell r="BF29">
            <v>0.03</v>
          </cell>
          <cell r="BG29">
            <v>0.15</v>
          </cell>
          <cell r="BH29">
            <v>0.09</v>
          </cell>
          <cell r="BI29">
            <v>0.7</v>
          </cell>
          <cell r="BJ29">
            <v>0.64</v>
          </cell>
          <cell r="BK29">
            <v>0.95499999999999996</v>
          </cell>
          <cell r="BL29">
            <v>0.86</v>
          </cell>
          <cell r="BM29">
            <v>0.90749999999999997</v>
          </cell>
        </row>
        <row r="30">
          <cell r="BB30" t="str">
            <v>1996年</v>
          </cell>
          <cell r="BC30">
            <v>1996</v>
          </cell>
          <cell r="BD30">
            <v>1.05</v>
          </cell>
          <cell r="BE30">
            <v>1.0416666666666667</v>
          </cell>
          <cell r="BF30">
            <v>-4.9875000000000003E-2</v>
          </cell>
          <cell r="BG30">
            <v>7.4999999999999997E-2</v>
          </cell>
          <cell r="BH30">
            <v>1.2562499999999997E-2</v>
          </cell>
          <cell r="BI30">
            <v>0.76100000000000001</v>
          </cell>
          <cell r="BJ30">
            <v>0.69550000000000001</v>
          </cell>
          <cell r="BK30">
            <v>1.0365</v>
          </cell>
          <cell r="BL30">
            <v>0.9345</v>
          </cell>
          <cell r="BM30">
            <v>0.98550000000000004</v>
          </cell>
        </row>
        <row r="31">
          <cell r="BB31" t="str">
            <v>1997年</v>
          </cell>
          <cell r="BC31">
            <v>1997</v>
          </cell>
          <cell r="BD31">
            <v>1.05</v>
          </cell>
          <cell r="BE31">
            <v>1.0416666666666667</v>
          </cell>
          <cell r="BF31">
            <v>-0.12975</v>
          </cell>
          <cell r="BG31">
            <v>0</v>
          </cell>
          <cell r="BH31">
            <v>-6.4875000000000002E-2</v>
          </cell>
          <cell r="BI31">
            <v>0.82199999999999995</v>
          </cell>
          <cell r="BJ31">
            <v>0.751</v>
          </cell>
          <cell r="BK31">
            <v>1.1179999999999999</v>
          </cell>
          <cell r="BL31">
            <v>1.0089999999999999</v>
          </cell>
          <cell r="BM31">
            <v>1.0634999999999999</v>
          </cell>
        </row>
        <row r="32">
          <cell r="BB32" t="str">
            <v>1998年</v>
          </cell>
          <cell r="BC32">
            <v>1998</v>
          </cell>
          <cell r="BD32">
            <v>1.05</v>
          </cell>
          <cell r="BE32">
            <v>1.0416666666666667</v>
          </cell>
          <cell r="BF32">
            <v>-0.20962500000000001</v>
          </cell>
          <cell r="BG32">
            <v>-7.4999999999999983E-2</v>
          </cell>
          <cell r="BH32">
            <v>-0.14231250000000001</v>
          </cell>
          <cell r="BI32">
            <v>0.88300000000000001</v>
          </cell>
          <cell r="BJ32">
            <v>0.80649999999999999</v>
          </cell>
          <cell r="BK32">
            <v>1.1995</v>
          </cell>
          <cell r="BL32">
            <v>1.0834999999999999</v>
          </cell>
          <cell r="BM32">
            <v>1.1415</v>
          </cell>
        </row>
        <row r="33">
          <cell r="BB33" t="str">
            <v>1999年</v>
          </cell>
          <cell r="BC33">
            <v>1999</v>
          </cell>
          <cell r="BD33">
            <v>1.05</v>
          </cell>
          <cell r="BE33">
            <v>1.0416666666666667</v>
          </cell>
          <cell r="BF33">
            <v>-0.28949999999999998</v>
          </cell>
          <cell r="BG33">
            <v>-0.15</v>
          </cell>
          <cell r="BH33">
            <v>-0.21975</v>
          </cell>
          <cell r="BI33">
            <v>0.94399999999999995</v>
          </cell>
          <cell r="BJ33">
            <v>0.86199999999999988</v>
          </cell>
          <cell r="BK33">
            <v>1.2809999999999999</v>
          </cell>
          <cell r="BL33">
            <v>1.1579999999999999</v>
          </cell>
          <cell r="BM33">
            <v>1.2195</v>
          </cell>
        </row>
        <row r="34">
          <cell r="BB34" t="str">
            <v>2000年</v>
          </cell>
          <cell r="BC34">
            <v>2000</v>
          </cell>
          <cell r="BD34">
            <v>1.05</v>
          </cell>
          <cell r="BE34">
            <v>1.0416666666666667</v>
          </cell>
          <cell r="BF34">
            <v>-0.36937500000000001</v>
          </cell>
          <cell r="BG34">
            <v>-0.22500000000000001</v>
          </cell>
          <cell r="BH34">
            <v>-0.29718749999999999</v>
          </cell>
          <cell r="BI34">
            <v>1.0049999999999999</v>
          </cell>
          <cell r="BJ34">
            <v>0.91749999999999998</v>
          </cell>
          <cell r="BK34">
            <v>1.3625</v>
          </cell>
          <cell r="BL34">
            <v>1.2324999999999999</v>
          </cell>
          <cell r="BM34">
            <v>1.2974999999999999</v>
          </cell>
        </row>
        <row r="35">
          <cell r="BB35" t="str">
            <v>2001年</v>
          </cell>
          <cell r="BC35">
            <v>2001</v>
          </cell>
          <cell r="BD35">
            <v>1.05</v>
          </cell>
          <cell r="BE35">
            <v>1.0416666666666667</v>
          </cell>
          <cell r="BF35">
            <v>-0.44925000000000004</v>
          </cell>
          <cell r="BG35">
            <v>-0.29999999999999993</v>
          </cell>
          <cell r="BH35">
            <v>-0.37462499999999999</v>
          </cell>
          <cell r="BI35">
            <v>1.0660000000000001</v>
          </cell>
          <cell r="BJ35">
            <v>0.97299999999999986</v>
          </cell>
          <cell r="BK35">
            <v>1.444</v>
          </cell>
          <cell r="BL35">
            <v>1.3069999999999999</v>
          </cell>
          <cell r="BM35">
            <v>1.3754999999999999</v>
          </cell>
        </row>
        <row r="36">
          <cell r="BB36" t="str">
            <v>2002年</v>
          </cell>
          <cell r="BC36">
            <v>2002</v>
          </cell>
          <cell r="BD36">
            <v>1.05</v>
          </cell>
          <cell r="BE36">
            <v>1.0416666666666667</v>
          </cell>
          <cell r="BF36">
            <v>-0.52912499999999996</v>
          </cell>
          <cell r="BG36">
            <v>-0.375</v>
          </cell>
          <cell r="BH36">
            <v>-0.45206249999999998</v>
          </cell>
          <cell r="BI36">
            <v>1.127</v>
          </cell>
          <cell r="BJ36">
            <v>1.0284999999999997</v>
          </cell>
          <cell r="BK36">
            <v>1.5255000000000001</v>
          </cell>
          <cell r="BL36">
            <v>1.3815</v>
          </cell>
          <cell r="BM36">
            <v>1.4535</v>
          </cell>
        </row>
        <row r="37">
          <cell r="BB37" t="str">
            <v>2003年</v>
          </cell>
          <cell r="BC37">
            <v>2003</v>
          </cell>
          <cell r="BD37">
            <v>1.05</v>
          </cell>
          <cell r="BE37">
            <v>1.0416666666666667</v>
          </cell>
          <cell r="BF37">
            <v>-0.60899999999999999</v>
          </cell>
          <cell r="BG37">
            <v>-0.44999999999999996</v>
          </cell>
          <cell r="BH37">
            <v>-0.52949999999999997</v>
          </cell>
          <cell r="BI37">
            <v>1.1880000000000002</v>
          </cell>
          <cell r="BJ37">
            <v>1.0839999999999999</v>
          </cell>
          <cell r="BK37">
            <v>1.607</v>
          </cell>
          <cell r="BL37">
            <v>1.456</v>
          </cell>
          <cell r="BM37">
            <v>1.5314999999999999</v>
          </cell>
        </row>
        <row r="38">
          <cell r="BB38" t="str">
            <v>2004年</v>
          </cell>
          <cell r="BC38">
            <v>2004</v>
          </cell>
          <cell r="BD38">
            <v>1.05</v>
          </cell>
          <cell r="BE38">
            <v>1.0416666666666667</v>
          </cell>
          <cell r="BF38">
            <v>-0.68887500000000002</v>
          </cell>
          <cell r="BG38">
            <v>-0.52499999999999991</v>
          </cell>
          <cell r="BH38">
            <v>-0.60693749999999991</v>
          </cell>
          <cell r="BI38">
            <v>1.2490000000000001</v>
          </cell>
          <cell r="BJ38">
            <v>1.1395</v>
          </cell>
          <cell r="BK38">
            <v>1.6884999999999999</v>
          </cell>
          <cell r="BL38">
            <v>1.5305</v>
          </cell>
          <cell r="BM38">
            <v>1.6094999999999999</v>
          </cell>
        </row>
        <row r="39">
          <cell r="BB39" t="str">
            <v>2005年</v>
          </cell>
          <cell r="BC39">
            <v>2005</v>
          </cell>
          <cell r="BD39">
            <v>1.05</v>
          </cell>
          <cell r="BE39">
            <v>1.0416666666666667</v>
          </cell>
          <cell r="BF39">
            <v>-0.77</v>
          </cell>
          <cell r="BG39">
            <v>-0.60499999999999998</v>
          </cell>
          <cell r="BH39">
            <v>-0.6875</v>
          </cell>
          <cell r="BI39">
            <v>1.31</v>
          </cell>
          <cell r="BJ39">
            <v>1.1950000000000001</v>
          </cell>
          <cell r="BK39">
            <v>1.77</v>
          </cell>
          <cell r="BL39">
            <v>1.605</v>
          </cell>
          <cell r="BM39">
            <v>1.6875</v>
          </cell>
        </row>
        <row r="40">
          <cell r="BB40" t="str">
            <v>2006年</v>
          </cell>
          <cell r="BC40">
            <v>2006</v>
          </cell>
          <cell r="BD40">
            <v>1.05</v>
          </cell>
          <cell r="BE40">
            <v>1.0416666666666667</v>
          </cell>
          <cell r="BF40">
            <v>-0.84087500000000004</v>
          </cell>
          <cell r="BG40">
            <v>-0.63575000000000004</v>
          </cell>
          <cell r="BH40">
            <v>-0.73831250000000004</v>
          </cell>
          <cell r="BI40">
            <v>1.363</v>
          </cell>
          <cell r="BJ40">
            <v>1.218</v>
          </cell>
          <cell r="BK40">
            <v>1.841</v>
          </cell>
          <cell r="BL40">
            <v>1.6359999999999999</v>
          </cell>
          <cell r="BM40">
            <v>1.7384999999999999</v>
          </cell>
        </row>
        <row r="41">
          <cell r="BB41" t="str">
            <v>2007年</v>
          </cell>
          <cell r="BC41">
            <v>2007</v>
          </cell>
          <cell r="BD41">
            <v>1.05</v>
          </cell>
          <cell r="BE41">
            <v>1.0416666666666667</v>
          </cell>
          <cell r="BF41">
            <v>-0.91175000000000006</v>
          </cell>
          <cell r="BG41">
            <v>-0.66649999999999998</v>
          </cell>
          <cell r="BH41">
            <v>-0.78912500000000008</v>
          </cell>
          <cell r="BI41">
            <v>1.4159999999999999</v>
          </cell>
          <cell r="BJ41">
            <v>1.2410000000000001</v>
          </cell>
          <cell r="BK41">
            <v>1.9119999999999999</v>
          </cell>
          <cell r="BL41">
            <v>1.667</v>
          </cell>
          <cell r="BM41">
            <v>1.7894999999999999</v>
          </cell>
        </row>
        <row r="42">
          <cell r="BB42" t="str">
            <v>2008年</v>
          </cell>
          <cell r="BC42">
            <v>2008</v>
          </cell>
          <cell r="BD42">
            <v>1.05</v>
          </cell>
          <cell r="BE42">
            <v>1.0416666666666667</v>
          </cell>
          <cell r="BF42">
            <v>-0.98262499999999997</v>
          </cell>
          <cell r="BG42">
            <v>-0.69724999999999993</v>
          </cell>
          <cell r="BH42">
            <v>-0.8399375</v>
          </cell>
          <cell r="BI42">
            <v>1.4689999999999999</v>
          </cell>
          <cell r="BJ42">
            <v>1.264</v>
          </cell>
          <cell r="BK42">
            <v>1.9830000000000001</v>
          </cell>
          <cell r="BL42">
            <v>1.698</v>
          </cell>
          <cell r="BM42">
            <v>1.8405</v>
          </cell>
        </row>
        <row r="43">
          <cell r="BB43" t="str">
            <v>2009年</v>
          </cell>
          <cell r="BC43">
            <v>2009</v>
          </cell>
          <cell r="BD43">
            <v>1.05</v>
          </cell>
          <cell r="BE43">
            <v>1.0416666666666667</v>
          </cell>
          <cell r="BF43">
            <v>-1.0535000000000001</v>
          </cell>
          <cell r="BG43">
            <v>-0.72799999999999998</v>
          </cell>
          <cell r="BH43">
            <v>-0.89075000000000004</v>
          </cell>
          <cell r="BI43">
            <v>1.522</v>
          </cell>
          <cell r="BJ43">
            <v>1.2870000000000001</v>
          </cell>
          <cell r="BK43">
            <v>2.0539999999999998</v>
          </cell>
          <cell r="BL43">
            <v>1.7290000000000001</v>
          </cell>
          <cell r="BM43">
            <v>1.8915</v>
          </cell>
        </row>
        <row r="44">
          <cell r="BB44" t="str">
            <v>2010年</v>
          </cell>
          <cell r="BC44">
            <v>2010</v>
          </cell>
          <cell r="BD44">
            <v>1.05</v>
          </cell>
          <cell r="BE44">
            <v>1.0416666666666667</v>
          </cell>
          <cell r="BF44">
            <v>-1.1243750000000001</v>
          </cell>
          <cell r="BG44">
            <v>-0.75875000000000004</v>
          </cell>
          <cell r="BH44">
            <v>-0.94156250000000008</v>
          </cell>
          <cell r="BI44">
            <v>1.575</v>
          </cell>
          <cell r="BJ44">
            <v>1.31</v>
          </cell>
          <cell r="BK44">
            <v>2.125</v>
          </cell>
          <cell r="BL44">
            <v>1.76</v>
          </cell>
          <cell r="BM44">
            <v>1.9424999999999999</v>
          </cell>
        </row>
        <row r="45">
          <cell r="BB45" t="str">
            <v>2011年</v>
          </cell>
          <cell r="BC45">
            <v>2011</v>
          </cell>
          <cell r="BD45">
            <v>1.05</v>
          </cell>
          <cell r="BE45">
            <v>1.0416666666666667</v>
          </cell>
          <cell r="BF45">
            <v>-1.1952499999999999</v>
          </cell>
          <cell r="BG45">
            <v>-0.78949999999999998</v>
          </cell>
          <cell r="BH45">
            <v>-0.99237500000000001</v>
          </cell>
          <cell r="BI45">
            <v>1.6279999999999999</v>
          </cell>
          <cell r="BJ45">
            <v>1.3330000000000002</v>
          </cell>
          <cell r="BK45">
            <v>2.1959999999999997</v>
          </cell>
          <cell r="BL45">
            <v>1.7909999999999999</v>
          </cell>
          <cell r="BM45">
            <v>1.9934999999999998</v>
          </cell>
        </row>
        <row r="46">
          <cell r="BB46" t="str">
            <v>2012年</v>
          </cell>
          <cell r="BC46">
            <v>2012</v>
          </cell>
          <cell r="BD46">
            <v>1.05</v>
          </cell>
          <cell r="BE46">
            <v>1.0416666666666667</v>
          </cell>
          <cell r="BF46">
            <v>-1.2661249999999999</v>
          </cell>
          <cell r="BG46">
            <v>-0.82024999999999992</v>
          </cell>
          <cell r="BH46">
            <v>-1.0431874999999999</v>
          </cell>
          <cell r="BI46">
            <v>1.6809999999999998</v>
          </cell>
          <cell r="BJ46">
            <v>1.3560000000000001</v>
          </cell>
          <cell r="BK46">
            <v>2.2669999999999999</v>
          </cell>
          <cell r="BL46">
            <v>1.8220000000000001</v>
          </cell>
          <cell r="BM46">
            <v>2.0445000000000002</v>
          </cell>
        </row>
        <row r="47">
          <cell r="BB47" t="str">
            <v>2013年</v>
          </cell>
          <cell r="BC47">
            <v>2013</v>
          </cell>
          <cell r="BD47">
            <v>1.05</v>
          </cell>
          <cell r="BE47">
            <v>1.0416666666666667</v>
          </cell>
          <cell r="BF47">
            <v>-1.337</v>
          </cell>
          <cell r="BG47">
            <v>-0.85099999999999998</v>
          </cell>
          <cell r="BH47">
            <v>-1.0939999999999999</v>
          </cell>
          <cell r="BI47">
            <v>1.734</v>
          </cell>
          <cell r="BJ47">
            <v>1.379</v>
          </cell>
          <cell r="BK47">
            <v>2.3380000000000001</v>
          </cell>
          <cell r="BL47">
            <v>1.853</v>
          </cell>
          <cell r="BM47">
            <v>2.0954999999999999</v>
          </cell>
        </row>
        <row r="48">
          <cell r="BB48" t="str">
            <v>2014年</v>
          </cell>
          <cell r="BC48">
            <v>2014</v>
          </cell>
          <cell r="BD48">
            <v>1.05</v>
          </cell>
          <cell r="BE48">
            <v>1.0416666666666667</v>
          </cell>
          <cell r="BF48">
            <v>-1.407875</v>
          </cell>
          <cell r="BG48">
            <v>-0.88175000000000003</v>
          </cell>
          <cell r="BH48">
            <v>-1.1448125</v>
          </cell>
          <cell r="BI48">
            <v>1.7869999999999999</v>
          </cell>
          <cell r="BJ48">
            <v>1.4020000000000001</v>
          </cell>
          <cell r="BK48">
            <v>2.4089999999999998</v>
          </cell>
          <cell r="BL48">
            <v>1.8840000000000001</v>
          </cell>
          <cell r="BM48">
            <v>2.1465000000000001</v>
          </cell>
        </row>
        <row r="49">
          <cell r="BB49" t="str">
            <v>2015年以降</v>
          </cell>
          <cell r="BC49">
            <v>2015</v>
          </cell>
          <cell r="BD49">
            <v>1.05</v>
          </cell>
          <cell r="BE49">
            <v>1.0416666666666667</v>
          </cell>
          <cell r="BF49">
            <v>-1.47875</v>
          </cell>
          <cell r="BG49">
            <v>-0.91249999999999998</v>
          </cell>
          <cell r="BH49">
            <v>-1.1956249999999999</v>
          </cell>
          <cell r="BI49">
            <v>1.8399999999999999</v>
          </cell>
          <cell r="BJ49">
            <v>1.425</v>
          </cell>
          <cell r="BK49">
            <v>2.48</v>
          </cell>
          <cell r="BL49">
            <v>1.915</v>
          </cell>
          <cell r="BM49">
            <v>2.1974999999999998</v>
          </cell>
        </row>
        <row r="50">
          <cell r="BB50" t="str">
            <v>不明</v>
          </cell>
          <cell r="BC50">
            <v>2009</v>
          </cell>
          <cell r="BD50">
            <v>1.05</v>
          </cell>
          <cell r="BE50">
            <v>1.0416666666666667</v>
          </cell>
          <cell r="BF50">
            <v>-1.5496249999999998</v>
          </cell>
          <cell r="BG50">
            <v>-0.94324999999999992</v>
          </cell>
          <cell r="BH50">
            <v>-1.2464374999999999</v>
          </cell>
          <cell r="BI50">
            <v>1.8929999999999998</v>
          </cell>
          <cell r="BJ50">
            <v>1.448</v>
          </cell>
          <cell r="BK50">
            <v>2.5510000000000002</v>
          </cell>
          <cell r="BL50">
            <v>1.9460000000000002</v>
          </cell>
          <cell r="BM50">
            <v>2.2484999999999999</v>
          </cell>
        </row>
        <row r="51">
          <cell r="BC51">
            <v>2016</v>
          </cell>
          <cell r="BD51">
            <v>1.05</v>
          </cell>
          <cell r="BE51">
            <v>1.0416666666666667</v>
          </cell>
          <cell r="BF51">
            <v>-1.6204999999999998</v>
          </cell>
          <cell r="BG51">
            <v>-0.97399999999999998</v>
          </cell>
          <cell r="BH51">
            <v>-1.29725</v>
          </cell>
          <cell r="BI51">
            <v>1.9459999999999997</v>
          </cell>
          <cell r="BJ51">
            <v>1.4710000000000001</v>
          </cell>
          <cell r="BK51">
            <v>2.6219999999999999</v>
          </cell>
          <cell r="BL51">
            <v>1.9770000000000001</v>
          </cell>
          <cell r="BM51">
            <v>2.2995000000000001</v>
          </cell>
        </row>
        <row r="52">
          <cell r="BC52">
            <v>2017</v>
          </cell>
          <cell r="BD52">
            <v>1.05</v>
          </cell>
          <cell r="BE52">
            <v>1.0416666666666667</v>
          </cell>
          <cell r="BF52">
            <v>-1.6913749999999999</v>
          </cell>
          <cell r="BG52">
            <v>-1.00475</v>
          </cell>
          <cell r="BH52">
            <v>-1.3480624999999999</v>
          </cell>
          <cell r="BI52">
            <v>1.9989999999999997</v>
          </cell>
          <cell r="BJ52">
            <v>1.494</v>
          </cell>
          <cell r="BK52">
            <v>2.6930000000000001</v>
          </cell>
          <cell r="BL52">
            <v>2.008</v>
          </cell>
          <cell r="BM52">
            <v>2.3505000000000003</v>
          </cell>
        </row>
        <row r="53">
          <cell r="BC53">
            <v>2018</v>
          </cell>
          <cell r="BD53">
            <v>1.05</v>
          </cell>
          <cell r="BE53">
            <v>1.0416666666666667</v>
          </cell>
          <cell r="BF53">
            <v>-1.7036249999999999</v>
          </cell>
          <cell r="BG53">
            <v>-1.0661250000000002</v>
          </cell>
          <cell r="BH53">
            <v>-1.3848750000000001</v>
          </cell>
          <cell r="BI53">
            <v>2.0110000000000001</v>
          </cell>
          <cell r="BJ53">
            <v>1.5427499999999998</v>
          </cell>
          <cell r="BK53">
            <v>2.7087499999999998</v>
          </cell>
          <cell r="BL53">
            <v>2.0732499999999998</v>
          </cell>
          <cell r="BM53">
            <v>2.391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9"/>
  <sheetViews>
    <sheetView topLeftCell="A70" zoomScaleNormal="100" workbookViewId="0">
      <selection activeCell="K95" sqref="K95"/>
    </sheetView>
  </sheetViews>
  <sheetFormatPr defaultColWidth="9" defaultRowHeight="13.5"/>
  <cols>
    <col min="1" max="1" width="3.25" style="1" customWidth="1"/>
    <col min="2" max="2" width="15.5" style="1" customWidth="1"/>
    <col min="3" max="3" width="8.75" style="1" customWidth="1"/>
    <col min="4" max="6" width="11.625" style="1" customWidth="1"/>
    <col min="7" max="10" width="9" style="1"/>
    <col min="11" max="11" width="12" style="1" customWidth="1"/>
    <col min="12" max="16384" width="9" style="1"/>
  </cols>
  <sheetData>
    <row r="1" spans="1:11" ht="21" customHeight="1">
      <c r="A1" s="868" t="s">
        <v>241</v>
      </c>
      <c r="B1" s="868"/>
      <c r="C1" s="868"/>
      <c r="D1" s="868"/>
      <c r="E1" s="868"/>
      <c r="F1" s="868"/>
      <c r="G1" s="868"/>
      <c r="H1" s="868"/>
      <c r="I1" s="868"/>
      <c r="J1" s="868"/>
      <c r="K1" s="1" t="s">
        <v>379</v>
      </c>
    </row>
    <row r="2" spans="1:11">
      <c r="B2" s="81"/>
    </row>
    <row r="3" spans="1:11">
      <c r="B3" s="262" t="s">
        <v>380</v>
      </c>
    </row>
    <row r="4" spans="1:11">
      <c r="B4" s="262" t="s">
        <v>382</v>
      </c>
    </row>
    <row r="5" spans="1:11">
      <c r="A5" s="81">
        <v>1</v>
      </c>
      <c r="B5" s="81" t="s">
        <v>200</v>
      </c>
    </row>
    <row r="6" spans="1:11">
      <c r="B6" s="82" t="s">
        <v>359</v>
      </c>
    </row>
    <row r="7" spans="1:11">
      <c r="B7" s="166" t="s">
        <v>362</v>
      </c>
    </row>
    <row r="8" spans="1:11">
      <c r="B8" s="869" t="s">
        <v>400</v>
      </c>
      <c r="C8" s="869"/>
      <c r="D8" s="869"/>
    </row>
    <row r="9" spans="1:11">
      <c r="B9" s="4" t="s">
        <v>185</v>
      </c>
      <c r="C9" s="4" t="s">
        <v>50</v>
      </c>
      <c r="D9" s="4" t="s">
        <v>186</v>
      </c>
    </row>
    <row r="10" spans="1:11">
      <c r="B10" s="4" t="s">
        <v>61</v>
      </c>
      <c r="C10" s="4" t="s">
        <v>10</v>
      </c>
      <c r="D10" s="14">
        <v>100</v>
      </c>
      <c r="G10" s="22" t="s">
        <v>63</v>
      </c>
    </row>
    <row r="11" spans="1:11">
      <c r="B11" s="870" t="s">
        <v>62</v>
      </c>
      <c r="C11" s="4" t="s">
        <v>63</v>
      </c>
      <c r="D11" s="14">
        <v>10</v>
      </c>
      <c r="F11" s="1" t="s">
        <v>70</v>
      </c>
      <c r="I11" s="1" t="s">
        <v>64</v>
      </c>
    </row>
    <row r="12" spans="1:11">
      <c r="B12" s="870"/>
      <c r="C12" s="4" t="s">
        <v>64</v>
      </c>
      <c r="D12" s="14">
        <v>10</v>
      </c>
    </row>
    <row r="13" spans="1:11">
      <c r="B13" s="870"/>
      <c r="C13" s="4" t="s">
        <v>65</v>
      </c>
      <c r="D13" s="14">
        <v>10</v>
      </c>
    </row>
    <row r="14" spans="1:11">
      <c r="B14" s="870"/>
      <c r="C14" s="4" t="s">
        <v>66</v>
      </c>
      <c r="D14" s="14">
        <v>10</v>
      </c>
    </row>
    <row r="15" spans="1:11">
      <c r="B15" s="870"/>
      <c r="C15" s="4" t="s">
        <v>67</v>
      </c>
      <c r="D15" s="14">
        <v>10</v>
      </c>
    </row>
    <row r="16" spans="1:11">
      <c r="B16" s="870"/>
      <c r="C16" s="4" t="s">
        <v>68</v>
      </c>
      <c r="D16" s="14">
        <v>10</v>
      </c>
    </row>
    <row r="17" spans="2:10">
      <c r="B17" s="870"/>
      <c r="C17" s="4" t="s">
        <v>69</v>
      </c>
      <c r="D17" s="14">
        <v>10</v>
      </c>
      <c r="E17" s="83" t="s">
        <v>69</v>
      </c>
      <c r="J17" s="1" t="s">
        <v>65</v>
      </c>
    </row>
    <row r="18" spans="2:10">
      <c r="B18" s="870"/>
      <c r="C18" s="4" t="s">
        <v>70</v>
      </c>
      <c r="D18" s="14">
        <v>10</v>
      </c>
    </row>
    <row r="19" spans="2:10">
      <c r="B19" s="870" t="s">
        <v>71</v>
      </c>
      <c r="C19" s="4" t="s">
        <v>63</v>
      </c>
      <c r="D19" s="14">
        <v>10</v>
      </c>
    </row>
    <row r="20" spans="2:10">
      <c r="B20" s="870"/>
      <c r="C20" s="4" t="s">
        <v>64</v>
      </c>
      <c r="D20" s="14">
        <v>10</v>
      </c>
    </row>
    <row r="21" spans="2:10">
      <c r="B21" s="870"/>
      <c r="C21" s="4" t="s">
        <v>65</v>
      </c>
      <c r="D21" s="14">
        <v>10</v>
      </c>
    </row>
    <row r="22" spans="2:10">
      <c r="B22" s="870"/>
      <c r="C22" s="4" t="s">
        <v>66</v>
      </c>
      <c r="D22" s="14">
        <v>10</v>
      </c>
    </row>
    <row r="23" spans="2:10">
      <c r="B23" s="870"/>
      <c r="C23" s="4" t="s">
        <v>67</v>
      </c>
      <c r="D23" s="14">
        <v>10</v>
      </c>
    </row>
    <row r="24" spans="2:10">
      <c r="B24" s="870"/>
      <c r="C24" s="4" t="s">
        <v>68</v>
      </c>
      <c r="D24" s="14">
        <v>10</v>
      </c>
      <c r="F24" s="1" t="s">
        <v>68</v>
      </c>
      <c r="I24" s="1" t="s">
        <v>66</v>
      </c>
    </row>
    <row r="25" spans="2:10">
      <c r="B25" s="870"/>
      <c r="C25" s="4" t="s">
        <v>69</v>
      </c>
      <c r="D25" s="14">
        <v>10</v>
      </c>
    </row>
    <row r="26" spans="2:10" ht="14.25" thickBot="1">
      <c r="B26" s="870"/>
      <c r="C26" s="4" t="s">
        <v>70</v>
      </c>
      <c r="D26" s="14">
        <v>10</v>
      </c>
      <c r="G26" s="22" t="s">
        <v>67</v>
      </c>
    </row>
    <row r="27" spans="2:10" ht="14.25" thickBot="1">
      <c r="F27" s="871" t="s">
        <v>360</v>
      </c>
      <c r="G27" s="872"/>
      <c r="H27" s="872"/>
      <c r="I27" s="859"/>
    </row>
    <row r="28" spans="2:10">
      <c r="G28" s="22" t="s">
        <v>63</v>
      </c>
    </row>
    <row r="29" spans="2:10">
      <c r="F29" s="1" t="s">
        <v>70</v>
      </c>
      <c r="I29" s="1" t="s">
        <v>64</v>
      </c>
    </row>
    <row r="35" spans="1:10">
      <c r="E35" s="83" t="s">
        <v>69</v>
      </c>
      <c r="J35" s="1" t="s">
        <v>65</v>
      </c>
    </row>
    <row r="42" spans="1:10">
      <c r="F42" s="1" t="s">
        <v>68</v>
      </c>
      <c r="I42" s="1" t="s">
        <v>66</v>
      </c>
    </row>
    <row r="43" spans="1:10" ht="14.25" thickBot="1">
      <c r="G43" s="22" t="s">
        <v>67</v>
      </c>
    </row>
    <row r="44" spans="1:10" ht="14.25" thickBot="1">
      <c r="F44" s="871" t="s">
        <v>361</v>
      </c>
      <c r="G44" s="872"/>
      <c r="H44" s="872"/>
      <c r="I44" s="859"/>
    </row>
    <row r="45" spans="1:10">
      <c r="A45" s="81">
        <v>2</v>
      </c>
      <c r="B45" s="81" t="s">
        <v>243</v>
      </c>
      <c r="F45" s="22"/>
      <c r="G45" s="22"/>
      <c r="H45" s="22"/>
      <c r="I45" s="22"/>
    </row>
    <row r="46" spans="1:10">
      <c r="B46" s="1" t="s">
        <v>245</v>
      </c>
      <c r="F46" s="22"/>
      <c r="G46" s="22"/>
      <c r="H46" s="22"/>
      <c r="I46" s="22"/>
    </row>
    <row r="47" spans="1:10">
      <c r="B47" s="869" t="s">
        <v>401</v>
      </c>
      <c r="C47" s="869"/>
      <c r="D47" s="869"/>
      <c r="E47" s="869"/>
      <c r="F47" s="22"/>
      <c r="G47" s="22"/>
      <c r="H47" s="22"/>
      <c r="I47" s="22"/>
    </row>
    <row r="48" spans="1:10">
      <c r="B48" s="8" t="s">
        <v>244</v>
      </c>
      <c r="C48" s="873">
        <v>2000000</v>
      </c>
      <c r="D48" s="873"/>
      <c r="E48" s="11" t="s">
        <v>196</v>
      </c>
      <c r="F48" s="22"/>
      <c r="G48" s="22"/>
      <c r="H48" s="22"/>
      <c r="I48" s="22"/>
    </row>
    <row r="49" spans="1:10">
      <c r="A49" s="81">
        <v>3</v>
      </c>
      <c r="B49" s="81" t="s">
        <v>622</v>
      </c>
    </row>
    <row r="50" spans="1:10">
      <c r="B50" s="1" t="s">
        <v>194</v>
      </c>
    </row>
    <row r="51" spans="1:10">
      <c r="B51" s="1" t="s">
        <v>228</v>
      </c>
    </row>
    <row r="52" spans="1:10">
      <c r="B52" s="82" t="s">
        <v>231</v>
      </c>
    </row>
    <row r="53" spans="1:10">
      <c r="B53" s="82" t="s">
        <v>230</v>
      </c>
    </row>
    <row r="54" spans="1:10">
      <c r="B54" s="869" t="s">
        <v>619</v>
      </c>
      <c r="C54" s="869"/>
      <c r="D54" s="869"/>
      <c r="E54" s="869"/>
    </row>
    <row r="55" spans="1:10">
      <c r="B55" s="8" t="s">
        <v>192</v>
      </c>
      <c r="C55" s="223">
        <f>温度条件他根拠!C32</f>
        <v>3.91</v>
      </c>
      <c r="D55" s="9" t="s">
        <v>57</v>
      </c>
      <c r="E55" s="11"/>
    </row>
    <row r="56" spans="1:10">
      <c r="B56" s="1" t="s">
        <v>229</v>
      </c>
    </row>
    <row r="57" spans="1:10">
      <c r="B57" s="82" t="s">
        <v>231</v>
      </c>
    </row>
    <row r="58" spans="1:10">
      <c r="B58" s="869" t="s">
        <v>620</v>
      </c>
      <c r="C58" s="869"/>
      <c r="D58" s="869"/>
      <c r="E58" s="869"/>
    </row>
    <row r="59" spans="1:10">
      <c r="B59" s="8" t="s">
        <v>157</v>
      </c>
      <c r="C59" s="9"/>
      <c r="D59" s="267">
        <v>0.7</v>
      </c>
      <c r="E59" s="11"/>
    </row>
    <row r="60" spans="1:10">
      <c r="B60" s="1" t="s">
        <v>195</v>
      </c>
    </row>
    <row r="61" spans="1:10">
      <c r="B61" s="1" t="s">
        <v>228</v>
      </c>
      <c r="G61" s="89" t="s">
        <v>383</v>
      </c>
      <c r="H61" s="89"/>
      <c r="I61" s="89"/>
      <c r="J61" s="89"/>
    </row>
    <row r="62" spans="1:10">
      <c r="B62" s="82" t="s">
        <v>232</v>
      </c>
      <c r="G62" s="89" t="s">
        <v>233</v>
      </c>
      <c r="H62" s="89"/>
      <c r="I62" s="89"/>
      <c r="J62" s="89"/>
    </row>
    <row r="63" spans="1:10">
      <c r="B63" s="82" t="s">
        <v>230</v>
      </c>
      <c r="G63" s="89" t="s">
        <v>236</v>
      </c>
      <c r="H63" s="89"/>
      <c r="I63" s="89"/>
      <c r="J63" s="89"/>
    </row>
    <row r="64" spans="1:10" ht="14.25" thickBot="1">
      <c r="B64" s="866" t="s">
        <v>618</v>
      </c>
      <c r="C64" s="866"/>
      <c r="D64" s="866"/>
      <c r="E64" s="866"/>
      <c r="G64" s="867" t="s">
        <v>403</v>
      </c>
      <c r="H64" s="867"/>
      <c r="I64" s="867"/>
    </row>
    <row r="65" spans="2:11" ht="14.25" thickBot="1">
      <c r="B65" s="131" t="s">
        <v>227</v>
      </c>
      <c r="C65" s="146" t="s">
        <v>50</v>
      </c>
      <c r="D65" s="858" t="s">
        <v>52</v>
      </c>
      <c r="E65" s="859"/>
      <c r="G65" s="228" t="s">
        <v>227</v>
      </c>
      <c r="H65" s="229" t="s">
        <v>50</v>
      </c>
      <c r="I65" s="230" t="s">
        <v>52</v>
      </c>
      <c r="J65" s="89"/>
    </row>
    <row r="66" spans="2:11">
      <c r="B66" s="860" t="s">
        <v>62</v>
      </c>
      <c r="C66" s="29" t="s">
        <v>63</v>
      </c>
      <c r="D66" s="272">
        <f>温度条件他根拠!C33</f>
        <v>1.18</v>
      </c>
      <c r="E66" s="273" t="s">
        <v>57</v>
      </c>
      <c r="G66" s="863" t="s">
        <v>62</v>
      </c>
      <c r="H66" s="231" t="s">
        <v>63</v>
      </c>
      <c r="I66" s="232">
        <v>1.18</v>
      </c>
      <c r="J66" s="89" t="s">
        <v>235</v>
      </c>
    </row>
    <row r="67" spans="2:11">
      <c r="B67" s="861"/>
      <c r="C67" s="4" t="s">
        <v>64</v>
      </c>
      <c r="D67" s="268">
        <f>温度条件他根拠!$C$33</f>
        <v>1.18</v>
      </c>
      <c r="E67" s="269" t="s">
        <v>57</v>
      </c>
      <c r="G67" s="864"/>
      <c r="H67" s="233" t="s">
        <v>64</v>
      </c>
      <c r="I67" s="234">
        <v>0.8</v>
      </c>
      <c r="J67" s="235" t="s">
        <v>237</v>
      </c>
    </row>
    <row r="68" spans="2:11">
      <c r="B68" s="861"/>
      <c r="C68" s="4" t="s">
        <v>65</v>
      </c>
      <c r="D68" s="268">
        <f>温度条件他根拠!$C$33</f>
        <v>1.18</v>
      </c>
      <c r="E68" s="269" t="s">
        <v>402</v>
      </c>
      <c r="G68" s="864"/>
      <c r="H68" s="233" t="s">
        <v>65</v>
      </c>
      <c r="I68" s="234">
        <v>0.8</v>
      </c>
      <c r="J68" s="235" t="s">
        <v>237</v>
      </c>
    </row>
    <row r="69" spans="2:11">
      <c r="B69" s="861"/>
      <c r="C69" s="4" t="s">
        <v>66</v>
      </c>
      <c r="D69" s="268">
        <f>温度条件他根拠!$C$33</f>
        <v>1.18</v>
      </c>
      <c r="E69" s="269" t="s">
        <v>402</v>
      </c>
      <c r="G69" s="864"/>
      <c r="H69" s="233" t="s">
        <v>66</v>
      </c>
      <c r="I69" s="234">
        <v>0.8</v>
      </c>
      <c r="J69" s="235" t="s">
        <v>237</v>
      </c>
    </row>
    <row r="70" spans="2:11">
      <c r="B70" s="861"/>
      <c r="C70" s="4" t="s">
        <v>67</v>
      </c>
      <c r="D70" s="268">
        <f>温度条件他根拠!$C$33</f>
        <v>1.18</v>
      </c>
      <c r="E70" s="269" t="s">
        <v>402</v>
      </c>
      <c r="G70" s="864"/>
      <c r="H70" s="21" t="s">
        <v>67</v>
      </c>
      <c r="I70" s="236">
        <v>1.18</v>
      </c>
      <c r="J70" s="89" t="s">
        <v>235</v>
      </c>
    </row>
    <row r="71" spans="2:11">
      <c r="B71" s="861"/>
      <c r="C71" s="4" t="s">
        <v>68</v>
      </c>
      <c r="D71" s="268">
        <f>温度条件他根拠!$C$33</f>
        <v>1.18</v>
      </c>
      <c r="E71" s="269" t="s">
        <v>402</v>
      </c>
      <c r="G71" s="864"/>
      <c r="H71" s="21" t="s">
        <v>68</v>
      </c>
      <c r="I71" s="236">
        <v>1.18</v>
      </c>
      <c r="J71" s="89" t="s">
        <v>235</v>
      </c>
    </row>
    <row r="72" spans="2:11">
      <c r="B72" s="861"/>
      <c r="C72" s="4" t="s">
        <v>69</v>
      </c>
      <c r="D72" s="268">
        <f>温度条件他根拠!$C$33</f>
        <v>1.18</v>
      </c>
      <c r="E72" s="269" t="s">
        <v>402</v>
      </c>
      <c r="G72" s="864"/>
      <c r="H72" s="21" t="s">
        <v>69</v>
      </c>
      <c r="I72" s="236">
        <v>1.18</v>
      </c>
      <c r="J72" s="89" t="s">
        <v>235</v>
      </c>
    </row>
    <row r="73" spans="2:11" ht="14.25" thickBot="1">
      <c r="B73" s="862"/>
      <c r="C73" s="31" t="s">
        <v>70</v>
      </c>
      <c r="D73" s="270">
        <f>温度条件他根拠!$C$33</f>
        <v>1.18</v>
      </c>
      <c r="E73" s="271" t="s">
        <v>402</v>
      </c>
      <c r="G73" s="865"/>
      <c r="H73" s="237" t="s">
        <v>70</v>
      </c>
      <c r="I73" s="238">
        <v>1.18</v>
      </c>
      <c r="J73" s="89" t="s">
        <v>235</v>
      </c>
    </row>
    <row r="74" spans="2:11">
      <c r="B74" s="1" t="s">
        <v>229</v>
      </c>
      <c r="G74" s="89" t="s">
        <v>383</v>
      </c>
      <c r="H74" s="89"/>
      <c r="I74" s="89"/>
      <c r="J74" s="89"/>
      <c r="K74" s="89"/>
    </row>
    <row r="75" spans="2:11">
      <c r="B75" s="82" t="s">
        <v>232</v>
      </c>
      <c r="G75" s="89" t="s">
        <v>233</v>
      </c>
      <c r="H75" s="89"/>
      <c r="I75" s="89"/>
      <c r="J75" s="89"/>
      <c r="K75" s="89"/>
    </row>
    <row r="76" spans="2:11">
      <c r="B76" s="82" t="s">
        <v>230</v>
      </c>
      <c r="G76" s="89" t="s">
        <v>623</v>
      </c>
      <c r="H76" s="89"/>
      <c r="I76" s="89"/>
      <c r="J76" s="89"/>
      <c r="K76" s="89"/>
    </row>
    <row r="77" spans="2:11" ht="14.25" thickBot="1">
      <c r="B77" s="866" t="s">
        <v>621</v>
      </c>
      <c r="C77" s="866"/>
      <c r="D77" s="866"/>
      <c r="E77" s="866"/>
      <c r="G77" s="867" t="s">
        <v>405</v>
      </c>
      <c r="H77" s="867"/>
      <c r="I77" s="867"/>
      <c r="K77" s="89"/>
    </row>
    <row r="78" spans="2:11" ht="14.25" thickBot="1">
      <c r="B78" s="131" t="s">
        <v>227</v>
      </c>
      <c r="C78" s="146" t="s">
        <v>50</v>
      </c>
      <c r="D78" s="146" t="s">
        <v>614</v>
      </c>
      <c r="E78" s="172" t="s">
        <v>404</v>
      </c>
      <c r="G78" s="228" t="s">
        <v>227</v>
      </c>
      <c r="H78" s="229" t="s">
        <v>50</v>
      </c>
      <c r="I78" s="230" t="s">
        <v>614</v>
      </c>
      <c r="J78" s="89"/>
      <c r="K78" s="89"/>
    </row>
    <row r="79" spans="2:11">
      <c r="B79" s="860" t="s">
        <v>62</v>
      </c>
      <c r="C79" s="29" t="s">
        <v>63</v>
      </c>
      <c r="D79" s="275">
        <v>0.7</v>
      </c>
      <c r="E79" s="273"/>
      <c r="G79" s="863" t="s">
        <v>62</v>
      </c>
      <c r="H79" s="231" t="s">
        <v>63</v>
      </c>
      <c r="I79" s="232">
        <v>0.7</v>
      </c>
      <c r="J79" s="89" t="s">
        <v>235</v>
      </c>
      <c r="K79" s="89"/>
    </row>
    <row r="80" spans="2:11">
      <c r="B80" s="861"/>
      <c r="C80" s="4" t="s">
        <v>64</v>
      </c>
      <c r="D80" s="14">
        <v>0.7</v>
      </c>
      <c r="E80" s="269"/>
      <c r="G80" s="864"/>
      <c r="H80" s="233" t="s">
        <v>64</v>
      </c>
      <c r="I80" s="234">
        <v>0.3</v>
      </c>
      <c r="J80" s="235" t="s">
        <v>234</v>
      </c>
      <c r="K80" s="89"/>
    </row>
    <row r="81" spans="2:11">
      <c r="B81" s="861"/>
      <c r="C81" s="4" t="s">
        <v>65</v>
      </c>
      <c r="D81" s="14">
        <v>0.7</v>
      </c>
      <c r="E81" s="269"/>
      <c r="G81" s="864"/>
      <c r="H81" s="233" t="s">
        <v>65</v>
      </c>
      <c r="I81" s="234">
        <v>0.3</v>
      </c>
      <c r="J81" s="235" t="s">
        <v>234</v>
      </c>
      <c r="K81" s="89"/>
    </row>
    <row r="82" spans="2:11">
      <c r="B82" s="861"/>
      <c r="C82" s="4" t="s">
        <v>66</v>
      </c>
      <c r="D82" s="14">
        <v>0.7</v>
      </c>
      <c r="E82" s="269"/>
      <c r="G82" s="864"/>
      <c r="H82" s="233" t="s">
        <v>66</v>
      </c>
      <c r="I82" s="234">
        <v>0.3</v>
      </c>
      <c r="J82" s="235" t="s">
        <v>234</v>
      </c>
      <c r="K82" s="89"/>
    </row>
    <row r="83" spans="2:11">
      <c r="B83" s="861"/>
      <c r="C83" s="4" t="s">
        <v>67</v>
      </c>
      <c r="D83" s="14">
        <v>0.7</v>
      </c>
      <c r="E83" s="269"/>
      <c r="G83" s="864"/>
      <c r="H83" s="21" t="s">
        <v>67</v>
      </c>
      <c r="I83" s="236">
        <v>0.7</v>
      </c>
      <c r="J83" s="89" t="s">
        <v>235</v>
      </c>
      <c r="K83" s="89"/>
    </row>
    <row r="84" spans="2:11">
      <c r="B84" s="861"/>
      <c r="C84" s="4" t="s">
        <v>68</v>
      </c>
      <c r="D84" s="14">
        <v>0.7</v>
      </c>
      <c r="E84" s="269"/>
      <c r="G84" s="864"/>
      <c r="H84" s="21" t="s">
        <v>68</v>
      </c>
      <c r="I84" s="236">
        <v>0.7</v>
      </c>
      <c r="J84" s="89" t="s">
        <v>235</v>
      </c>
      <c r="K84" s="89"/>
    </row>
    <row r="85" spans="2:11">
      <c r="B85" s="861"/>
      <c r="C85" s="4" t="s">
        <v>69</v>
      </c>
      <c r="D85" s="14">
        <v>0.7</v>
      </c>
      <c r="E85" s="269"/>
      <c r="G85" s="864"/>
      <c r="H85" s="21" t="s">
        <v>69</v>
      </c>
      <c r="I85" s="236">
        <v>0.7</v>
      </c>
      <c r="J85" s="89" t="s">
        <v>235</v>
      </c>
      <c r="K85" s="89"/>
    </row>
    <row r="86" spans="2:11" ht="14.25" thickBot="1">
      <c r="B86" s="862"/>
      <c r="C86" s="31" t="s">
        <v>70</v>
      </c>
      <c r="D86" s="274">
        <v>0.7</v>
      </c>
      <c r="E86" s="271"/>
      <c r="G86" s="865"/>
      <c r="H86" s="237" t="s">
        <v>70</v>
      </c>
      <c r="I86" s="238">
        <v>0.7</v>
      </c>
      <c r="J86" s="89" t="s">
        <v>235</v>
      </c>
    </row>
    <row r="87" spans="2:11">
      <c r="B87" s="1" t="s">
        <v>615</v>
      </c>
    </row>
    <row r="88" spans="2:11">
      <c r="B88" s="857" t="s">
        <v>616</v>
      </c>
      <c r="C88" s="857"/>
      <c r="D88" s="857"/>
      <c r="E88" s="857"/>
      <c r="F88" s="857"/>
      <c r="G88" s="857"/>
    </row>
    <row r="89" spans="2:11">
      <c r="B89" s="8" t="s">
        <v>630</v>
      </c>
      <c r="C89" s="9"/>
      <c r="D89" s="9"/>
      <c r="E89" s="8">
        <v>5.61</v>
      </c>
      <c r="F89" s="11" t="s">
        <v>57</v>
      </c>
      <c r="G89" s="165">
        <v>0.49</v>
      </c>
    </row>
    <row r="90" spans="2:11">
      <c r="B90" s="8" t="s">
        <v>629</v>
      </c>
      <c r="C90" s="9"/>
      <c r="D90" s="9"/>
      <c r="E90" s="177">
        <v>2.5</v>
      </c>
      <c r="F90" s="11" t="s">
        <v>57</v>
      </c>
      <c r="G90" s="165">
        <v>0.41499999999999998</v>
      </c>
    </row>
    <row r="91" spans="2:11">
      <c r="B91" s="8" t="s">
        <v>631</v>
      </c>
      <c r="C91" s="9"/>
      <c r="D91" s="9"/>
      <c r="E91" s="177">
        <v>1.69</v>
      </c>
      <c r="F91" s="11" t="s">
        <v>57</v>
      </c>
      <c r="G91" s="165">
        <v>0.40799999999999997</v>
      </c>
    </row>
    <row r="92" spans="2:11">
      <c r="B92" s="8" t="s">
        <v>226</v>
      </c>
      <c r="C92" s="9"/>
      <c r="D92" s="9"/>
      <c r="E92" s="178"/>
      <c r="F92" s="11" t="s">
        <v>57</v>
      </c>
      <c r="G92" s="15"/>
    </row>
    <row r="93" spans="2:11">
      <c r="G93" s="89" t="s">
        <v>383</v>
      </c>
      <c r="H93" s="107"/>
      <c r="I93" s="107"/>
      <c r="J93" s="107"/>
      <c r="K93" s="107"/>
    </row>
    <row r="94" spans="2:11">
      <c r="G94" s="89" t="s">
        <v>239</v>
      </c>
      <c r="H94" s="107"/>
      <c r="I94" s="107"/>
      <c r="J94" s="107"/>
      <c r="K94" s="107"/>
    </row>
    <row r="95" spans="2:11">
      <c r="B95" s="82" t="s">
        <v>238</v>
      </c>
      <c r="G95" s="89" t="s">
        <v>632</v>
      </c>
      <c r="H95" s="107"/>
      <c r="I95" s="107"/>
      <c r="J95" s="107"/>
      <c r="K95" s="107"/>
    </row>
    <row r="96" spans="2:11">
      <c r="B96" s="82" t="s">
        <v>230</v>
      </c>
      <c r="G96" s="107" t="s">
        <v>240</v>
      </c>
      <c r="H96" s="107"/>
      <c r="I96" s="107"/>
      <c r="J96" s="107"/>
      <c r="K96" s="107"/>
    </row>
    <row r="97" spans="1:11" ht="14.25" thickBot="1">
      <c r="B97" s="866" t="s">
        <v>617</v>
      </c>
      <c r="C97" s="866"/>
      <c r="D97" s="866"/>
      <c r="E97" s="866"/>
      <c r="G97" s="867" t="s">
        <v>406</v>
      </c>
      <c r="H97" s="867"/>
      <c r="I97" s="867"/>
      <c r="J97" s="867"/>
      <c r="K97" s="107"/>
    </row>
    <row r="98" spans="1:11" ht="14.25" thickBot="1">
      <c r="B98" s="131" t="s">
        <v>227</v>
      </c>
      <c r="C98" s="146" t="s">
        <v>50</v>
      </c>
      <c r="D98" s="146" t="s">
        <v>52</v>
      </c>
      <c r="E98" s="172" t="s">
        <v>614</v>
      </c>
      <c r="G98" s="228" t="s">
        <v>227</v>
      </c>
      <c r="H98" s="229" t="s">
        <v>50</v>
      </c>
      <c r="I98" s="229" t="s">
        <v>52</v>
      </c>
      <c r="J98" s="230" t="s">
        <v>614</v>
      </c>
      <c r="K98" s="89"/>
    </row>
    <row r="99" spans="1:11">
      <c r="B99" s="860" t="s">
        <v>71</v>
      </c>
      <c r="C99" s="29" t="s">
        <v>63</v>
      </c>
      <c r="D99" s="170">
        <f>温度条件他根拠!C34</f>
        <v>5.95</v>
      </c>
      <c r="E99" s="171">
        <f>温度条件他根拠!C35</f>
        <v>0.876</v>
      </c>
      <c r="G99" s="863" t="s">
        <v>71</v>
      </c>
      <c r="H99" s="231" t="s">
        <v>63</v>
      </c>
      <c r="I99" s="239">
        <v>6.29</v>
      </c>
      <c r="J99" s="240">
        <v>0.96</v>
      </c>
      <c r="K99" s="89" t="s">
        <v>235</v>
      </c>
    </row>
    <row r="100" spans="1:11">
      <c r="B100" s="861"/>
      <c r="C100" s="4" t="s">
        <v>64</v>
      </c>
      <c r="D100" s="75">
        <f>温度条件他根拠!$C$34</f>
        <v>5.95</v>
      </c>
      <c r="E100" s="168">
        <f>温度条件他根拠!$C$35</f>
        <v>0.876</v>
      </c>
      <c r="G100" s="864"/>
      <c r="H100" s="21" t="s">
        <v>64</v>
      </c>
      <c r="I100" s="241">
        <v>6.29</v>
      </c>
      <c r="J100" s="242">
        <v>0.96</v>
      </c>
      <c r="K100" s="89" t="s">
        <v>235</v>
      </c>
    </row>
    <row r="101" spans="1:11">
      <c r="B101" s="861"/>
      <c r="C101" s="4" t="s">
        <v>65</v>
      </c>
      <c r="D101" s="75">
        <f>温度条件他根拠!$C$34</f>
        <v>5.95</v>
      </c>
      <c r="E101" s="168">
        <f>温度条件他根拠!$C$35</f>
        <v>0.876</v>
      </c>
      <c r="G101" s="864"/>
      <c r="H101" s="21" t="s">
        <v>65</v>
      </c>
      <c r="I101" s="241">
        <v>6.29</v>
      </c>
      <c r="J101" s="242">
        <v>0.96</v>
      </c>
      <c r="K101" s="89" t="s">
        <v>235</v>
      </c>
    </row>
    <row r="102" spans="1:11">
      <c r="B102" s="861"/>
      <c r="C102" s="4" t="s">
        <v>66</v>
      </c>
      <c r="D102" s="75">
        <f>温度条件他根拠!$C$34</f>
        <v>5.95</v>
      </c>
      <c r="E102" s="168">
        <f>温度条件他根拠!$C$35</f>
        <v>0.876</v>
      </c>
      <c r="G102" s="864"/>
      <c r="H102" s="21" t="s">
        <v>66</v>
      </c>
      <c r="I102" s="241">
        <v>6.29</v>
      </c>
      <c r="J102" s="242">
        <v>0.96</v>
      </c>
      <c r="K102" s="89" t="s">
        <v>235</v>
      </c>
    </row>
    <row r="103" spans="1:11">
      <c r="B103" s="861"/>
      <c r="C103" s="4" t="s">
        <v>67</v>
      </c>
      <c r="D103" s="75">
        <f>温度条件他根拠!$C$34</f>
        <v>5.95</v>
      </c>
      <c r="E103" s="168">
        <f>温度条件他根拠!$C$35</f>
        <v>0.876</v>
      </c>
      <c r="G103" s="864"/>
      <c r="H103" s="233" t="s">
        <v>67</v>
      </c>
      <c r="I103" s="243">
        <v>3</v>
      </c>
      <c r="J103" s="244">
        <v>0.8</v>
      </c>
      <c r="K103" s="235" t="s">
        <v>242</v>
      </c>
    </row>
    <row r="104" spans="1:11">
      <c r="B104" s="861"/>
      <c r="C104" s="4" t="s">
        <v>68</v>
      </c>
      <c r="D104" s="75">
        <f>温度条件他根拠!$C$34</f>
        <v>5.95</v>
      </c>
      <c r="E104" s="168">
        <f>温度条件他根拠!$C$35</f>
        <v>0.876</v>
      </c>
      <c r="G104" s="864"/>
      <c r="H104" s="233" t="s">
        <v>68</v>
      </c>
      <c r="I104" s="243">
        <v>3</v>
      </c>
      <c r="J104" s="244">
        <v>0.8</v>
      </c>
      <c r="K104" s="235" t="s">
        <v>242</v>
      </c>
    </row>
    <row r="105" spans="1:11">
      <c r="B105" s="861"/>
      <c r="C105" s="4" t="s">
        <v>69</v>
      </c>
      <c r="D105" s="75">
        <f>温度条件他根拠!$C$34</f>
        <v>5.95</v>
      </c>
      <c r="E105" s="168">
        <f>温度条件他根拠!$C$35</f>
        <v>0.876</v>
      </c>
      <c r="G105" s="864"/>
      <c r="H105" s="233" t="s">
        <v>69</v>
      </c>
      <c r="I105" s="243">
        <v>3</v>
      </c>
      <c r="J105" s="244">
        <v>0.8</v>
      </c>
      <c r="K105" s="235" t="s">
        <v>242</v>
      </c>
    </row>
    <row r="106" spans="1:11" ht="14.25" thickBot="1">
      <c r="B106" s="862"/>
      <c r="C106" s="31" t="s">
        <v>70</v>
      </c>
      <c r="D106" s="76">
        <f>温度条件他根拠!C34</f>
        <v>5.95</v>
      </c>
      <c r="E106" s="169">
        <f>温度条件他根拠!C35</f>
        <v>0.876</v>
      </c>
      <c r="G106" s="865"/>
      <c r="H106" s="237" t="s">
        <v>70</v>
      </c>
      <c r="I106" s="245">
        <v>6.29</v>
      </c>
      <c r="J106" s="246">
        <v>0.96</v>
      </c>
      <c r="K106" s="89" t="s">
        <v>235</v>
      </c>
    </row>
    <row r="107" spans="1:11" ht="14.25" thickBot="1"/>
    <row r="108" spans="1:11">
      <c r="A108" s="259">
        <v>4</v>
      </c>
      <c r="B108" s="260" t="s">
        <v>197</v>
      </c>
      <c r="C108" s="247"/>
      <c r="D108" s="247"/>
      <c r="E108" s="247"/>
      <c r="F108" s="247"/>
      <c r="G108" s="247"/>
      <c r="H108" s="247"/>
      <c r="I108" s="247"/>
      <c r="J108" s="247"/>
      <c r="K108" s="248"/>
    </row>
    <row r="109" spans="1:11">
      <c r="A109" s="249"/>
      <c r="K109" s="250"/>
    </row>
    <row r="110" spans="1:11">
      <c r="A110" s="249"/>
      <c r="B110" s="1" t="s">
        <v>381</v>
      </c>
      <c r="K110" s="250"/>
    </row>
    <row r="111" spans="1:11">
      <c r="A111" s="249"/>
      <c r="B111" s="857" t="s">
        <v>407</v>
      </c>
      <c r="C111" s="857"/>
      <c r="D111" s="857"/>
      <c r="E111" s="857"/>
      <c r="F111" s="857"/>
      <c r="K111" s="250"/>
    </row>
    <row r="112" spans="1:11" ht="20.100000000000001" customHeight="1">
      <c r="A112" s="249"/>
      <c r="B112" s="4" t="s">
        <v>81</v>
      </c>
      <c r="C112" s="4" t="s">
        <v>15</v>
      </c>
      <c r="D112" s="4" t="s">
        <v>4</v>
      </c>
      <c r="E112" s="4" t="s">
        <v>5</v>
      </c>
      <c r="F112" s="4" t="s">
        <v>6</v>
      </c>
      <c r="K112" s="250"/>
    </row>
    <row r="113" spans="1:11" ht="20.100000000000001" customHeight="1">
      <c r="A113" s="249"/>
      <c r="B113" s="2" t="s">
        <v>198</v>
      </c>
      <c r="C113" s="4" t="s">
        <v>196</v>
      </c>
      <c r="D113" s="13" t="e">
        <f>#REF!</f>
        <v>#REF!</v>
      </c>
      <c r="E113" s="13">
        <f>熊谷市!E20</f>
        <v>0</v>
      </c>
      <c r="F113" s="13">
        <f>秩父市!E20</f>
        <v>0</v>
      </c>
      <c r="K113" s="250"/>
    </row>
    <row r="114" spans="1:11" ht="20.100000000000001" customHeight="1">
      <c r="A114" s="249"/>
      <c r="B114" s="2" t="s">
        <v>199</v>
      </c>
      <c r="C114" s="4" t="s">
        <v>7</v>
      </c>
      <c r="D114" s="17" t="e">
        <f>#REF!</f>
        <v>#REF!</v>
      </c>
      <c r="E114" s="17">
        <f>熊谷市!E21</f>
        <v>0</v>
      </c>
      <c r="F114" s="17">
        <f>秩父市!E21</f>
        <v>0</v>
      </c>
      <c r="K114" s="250"/>
    </row>
    <row r="115" spans="1:11" ht="20.100000000000001" customHeight="1">
      <c r="A115" s="249"/>
      <c r="B115" s="2" t="s">
        <v>246</v>
      </c>
      <c r="C115" s="4" t="s">
        <v>247</v>
      </c>
      <c r="D115" s="17" t="e">
        <f>(D114/(C48*0.495/1000)*100)</f>
        <v>#REF!</v>
      </c>
      <c r="E115" s="17">
        <f>(E114/(C48*0.495/1000))*100</f>
        <v>0</v>
      </c>
      <c r="F115" s="17">
        <f>(F114/(C48*0.495/1000))*100</f>
        <v>0</v>
      </c>
      <c r="K115" s="250"/>
    </row>
    <row r="116" spans="1:11">
      <c r="A116" s="249"/>
      <c r="C116" s="22"/>
      <c r="D116" s="263"/>
      <c r="E116" s="263"/>
      <c r="F116" s="263"/>
      <c r="K116" s="250"/>
    </row>
    <row r="117" spans="1:11">
      <c r="A117" s="249"/>
      <c r="C117" s="22"/>
      <c r="D117" s="263"/>
      <c r="E117" s="263"/>
      <c r="F117" s="263"/>
      <c r="K117" s="250"/>
    </row>
    <row r="118" spans="1:11">
      <c r="A118" s="249"/>
      <c r="C118" s="22"/>
      <c r="D118" s="263"/>
      <c r="E118" s="263"/>
      <c r="F118" s="263"/>
      <c r="K118" s="250"/>
    </row>
    <row r="119" spans="1:11" ht="14.25" thickBot="1">
      <c r="A119" s="251"/>
      <c r="B119" s="167"/>
      <c r="C119" s="167"/>
      <c r="D119" s="167"/>
      <c r="E119" s="167"/>
      <c r="F119" s="167"/>
      <c r="G119" s="167"/>
      <c r="H119" s="167"/>
      <c r="I119" s="167"/>
      <c r="J119" s="167"/>
      <c r="K119" s="252"/>
    </row>
  </sheetData>
  <mergeCells count="25">
    <mergeCell ref="G64:I64"/>
    <mergeCell ref="A1:J1"/>
    <mergeCell ref="B8:D8"/>
    <mergeCell ref="B11:B18"/>
    <mergeCell ref="B19:B26"/>
    <mergeCell ref="F27:I27"/>
    <mergeCell ref="F44:I44"/>
    <mergeCell ref="B47:E47"/>
    <mergeCell ref="C48:D48"/>
    <mergeCell ref="B54:E54"/>
    <mergeCell ref="B58:E58"/>
    <mergeCell ref="B64:E64"/>
    <mergeCell ref="B111:F111"/>
    <mergeCell ref="D65:E65"/>
    <mergeCell ref="B66:B73"/>
    <mergeCell ref="G66:G73"/>
    <mergeCell ref="B77:E77"/>
    <mergeCell ref="G77:I77"/>
    <mergeCell ref="B79:B86"/>
    <mergeCell ref="G79:G86"/>
    <mergeCell ref="B88:G88"/>
    <mergeCell ref="B97:E97"/>
    <mergeCell ref="G97:J97"/>
    <mergeCell ref="B99:B106"/>
    <mergeCell ref="G99:G106"/>
  </mergeCells>
  <phoneticPr fontId="1"/>
  <pageMargins left="0.31496062992125984" right="0.19685039370078741" top="0.15748031496062992" bottom="0.15748031496062992" header="0" footer="0"/>
  <pageSetup paperSize="9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topLeftCell="A37" workbookViewId="0">
      <selection activeCell="D38" sqref="D38"/>
    </sheetView>
  </sheetViews>
  <sheetFormatPr defaultColWidth="9" defaultRowHeight="13.5"/>
  <cols>
    <col min="1" max="10" width="9" style="1"/>
    <col min="11" max="11" width="2" style="1" customWidth="1"/>
    <col min="12" max="16384" width="9" style="1"/>
  </cols>
  <sheetData>
    <row r="1" spans="1:11">
      <c r="A1" s="81" t="s">
        <v>55</v>
      </c>
    </row>
    <row r="3" spans="1:11">
      <c r="A3" s="1" t="s">
        <v>83</v>
      </c>
      <c r="B3" s="82" t="s">
        <v>348</v>
      </c>
    </row>
    <row r="4" spans="1:11">
      <c r="B4" s="82" t="s">
        <v>84</v>
      </c>
    </row>
    <row r="6" spans="1:11">
      <c r="B6" s="1" t="s">
        <v>349</v>
      </c>
    </row>
    <row r="8" spans="1:11">
      <c r="B8" s="2" t="s">
        <v>85</v>
      </c>
      <c r="C8" s="256" t="s">
        <v>86</v>
      </c>
      <c r="D8" s="11"/>
    </row>
    <row r="9" spans="1:11">
      <c r="B9" s="2" t="s">
        <v>87</v>
      </c>
      <c r="C9" s="9">
        <v>26</v>
      </c>
      <c r="D9" s="11" t="s">
        <v>88</v>
      </c>
    </row>
    <row r="11" spans="1:11">
      <c r="B11" s="1" t="s">
        <v>89</v>
      </c>
    </row>
    <row r="13" spans="1:11" ht="16.5">
      <c r="B13" s="1527" t="s">
        <v>90</v>
      </c>
      <c r="C13" s="1528"/>
      <c r="D13" s="1528"/>
      <c r="E13" s="1528"/>
      <c r="F13" s="1528"/>
      <c r="G13" s="1528"/>
      <c r="H13" s="1528"/>
      <c r="I13" s="1528"/>
      <c r="J13" s="1528"/>
      <c r="K13" s="1529"/>
    </row>
    <row r="15" spans="1:11">
      <c r="B15" s="1" t="s">
        <v>91</v>
      </c>
      <c r="C15" s="1" t="s">
        <v>92</v>
      </c>
    </row>
    <row r="16" spans="1:11">
      <c r="B16" s="1" t="s">
        <v>93</v>
      </c>
      <c r="C16" s="1" t="s">
        <v>94</v>
      </c>
    </row>
    <row r="18" spans="1:11" ht="27" customHeight="1">
      <c r="B18" s="257" t="s">
        <v>352</v>
      </c>
      <c r="C18" s="1525" t="s">
        <v>353</v>
      </c>
      <c r="D18" s="1525"/>
      <c r="E18" s="1525"/>
      <c r="F18" s="1525"/>
      <c r="G18" s="1525"/>
      <c r="H18" s="1525"/>
      <c r="I18" s="1525"/>
      <c r="J18" s="1525"/>
    </row>
    <row r="19" spans="1:11" ht="15.75">
      <c r="B19" s="1" t="s">
        <v>350</v>
      </c>
      <c r="C19" s="1" t="s">
        <v>95</v>
      </c>
    </row>
    <row r="20" spans="1:11" ht="15.75">
      <c r="B20" s="1" t="s">
        <v>351</v>
      </c>
      <c r="C20" s="1" t="s">
        <v>96</v>
      </c>
    </row>
    <row r="21" spans="1:11">
      <c r="B21" s="1" t="s">
        <v>285</v>
      </c>
      <c r="C21" s="1" t="s">
        <v>98</v>
      </c>
    </row>
    <row r="23" spans="1:11">
      <c r="A23" s="81" t="s">
        <v>99</v>
      </c>
    </row>
    <row r="24" spans="1:11" ht="33" customHeight="1">
      <c r="A24" s="83" t="s">
        <v>100</v>
      </c>
      <c r="B24" s="1525" t="s">
        <v>101</v>
      </c>
      <c r="C24" s="1525"/>
      <c r="D24" s="1525"/>
      <c r="E24" s="1525"/>
      <c r="F24" s="1525"/>
      <c r="G24" s="1525"/>
      <c r="H24" s="1525"/>
      <c r="I24" s="1525"/>
      <c r="J24" s="1525"/>
      <c r="K24" s="1525"/>
    </row>
    <row r="26" spans="1:11">
      <c r="B26" s="1" t="s">
        <v>102</v>
      </c>
    </row>
    <row r="27" spans="1:11">
      <c r="B27" s="1527" t="s">
        <v>103</v>
      </c>
      <c r="C27" s="1528"/>
      <c r="D27" s="1528"/>
      <c r="E27" s="1528"/>
      <c r="F27" s="1529"/>
    </row>
    <row r="29" spans="1:11">
      <c r="B29" s="1" t="s">
        <v>104</v>
      </c>
      <c r="C29" s="1" t="s">
        <v>105</v>
      </c>
    </row>
    <row r="30" spans="1:11">
      <c r="B30" s="1" t="s">
        <v>106</v>
      </c>
      <c r="C30" s="1" t="s">
        <v>107</v>
      </c>
    </row>
    <row r="31" spans="1:11">
      <c r="B31" s="1" t="s">
        <v>108</v>
      </c>
      <c r="C31" s="1" t="s">
        <v>109</v>
      </c>
      <c r="E31" s="2">
        <f>温度条件他根拠!E8</f>
        <v>31.9</v>
      </c>
      <c r="F31" s="1" t="s">
        <v>110</v>
      </c>
    </row>
    <row r="32" spans="1:11">
      <c r="B32" s="1" t="s">
        <v>111</v>
      </c>
      <c r="C32" s="1" t="s">
        <v>112</v>
      </c>
      <c r="E32" s="1">
        <v>30.8</v>
      </c>
      <c r="F32" s="1" t="s">
        <v>113</v>
      </c>
    </row>
    <row r="33" spans="1:8">
      <c r="B33" s="1" t="s">
        <v>114</v>
      </c>
      <c r="C33" s="1" t="s">
        <v>115</v>
      </c>
      <c r="E33" s="2">
        <f>温度条件他根拠!D10</f>
        <v>28</v>
      </c>
      <c r="F33" s="1" t="s">
        <v>88</v>
      </c>
    </row>
    <row r="34" spans="1:8">
      <c r="B34" s="1" t="s">
        <v>97</v>
      </c>
      <c r="C34" s="1" t="s">
        <v>116</v>
      </c>
      <c r="E34" s="1">
        <v>26</v>
      </c>
      <c r="F34" s="1" t="s">
        <v>117</v>
      </c>
      <c r="G34" s="1">
        <v>24</v>
      </c>
      <c r="H34" s="1" t="s">
        <v>118</v>
      </c>
    </row>
    <row r="36" spans="1:8">
      <c r="B36" s="1" t="s">
        <v>119</v>
      </c>
    </row>
    <row r="38" spans="1:8">
      <c r="B38" s="8" t="s">
        <v>120</v>
      </c>
      <c r="C38" s="84" t="s">
        <v>121</v>
      </c>
      <c r="D38" s="84">
        <f>E31-E32</f>
        <v>1.0999999999999979</v>
      </c>
      <c r="E38" s="85">
        <f>(E33-E34)*-1</f>
        <v>-2</v>
      </c>
      <c r="F38" s="86" t="s">
        <v>122</v>
      </c>
      <c r="G38" s="87">
        <f>D38+E38</f>
        <v>-0.90000000000000213</v>
      </c>
    </row>
    <row r="40" spans="1:8">
      <c r="A40" s="83" t="s">
        <v>123</v>
      </c>
      <c r="B40" s="1" t="s">
        <v>124</v>
      </c>
    </row>
    <row r="42" spans="1:8">
      <c r="B42" s="1" t="s">
        <v>125</v>
      </c>
    </row>
    <row r="44" spans="1:8" ht="16.5">
      <c r="B44" s="8" t="s">
        <v>126</v>
      </c>
      <c r="C44" s="9"/>
      <c r="D44" s="9"/>
      <c r="E44" s="9"/>
      <c r="F44" s="9"/>
      <c r="G44" s="11"/>
    </row>
    <row r="46" spans="1:8">
      <c r="B46" s="1" t="s">
        <v>127</v>
      </c>
    </row>
    <row r="47" spans="1:8">
      <c r="B47" s="1" t="s">
        <v>128</v>
      </c>
    </row>
    <row r="48" spans="1:8">
      <c r="B48" s="1" t="s">
        <v>129</v>
      </c>
    </row>
    <row r="50" spans="1:10">
      <c r="B50" s="1" t="s">
        <v>354</v>
      </c>
      <c r="C50" s="1" t="s">
        <v>130</v>
      </c>
    </row>
    <row r="51" spans="1:10">
      <c r="B51" s="1" t="s">
        <v>355</v>
      </c>
      <c r="C51" s="1" t="s">
        <v>131</v>
      </c>
    </row>
    <row r="52" spans="1:10">
      <c r="B52" s="88" t="s">
        <v>356</v>
      </c>
      <c r="C52" s="1" t="s">
        <v>132</v>
      </c>
    </row>
    <row r="53" spans="1:10" ht="16.5">
      <c r="B53" s="1" t="s">
        <v>357</v>
      </c>
      <c r="C53" s="1" t="s">
        <v>133</v>
      </c>
    </row>
    <row r="54" spans="1:10" ht="16.5">
      <c r="B54" s="1" t="s">
        <v>358</v>
      </c>
      <c r="C54" s="1" t="s">
        <v>134</v>
      </c>
    </row>
    <row r="56" spans="1:10">
      <c r="A56" s="83" t="s">
        <v>135</v>
      </c>
      <c r="B56" s="1" t="s">
        <v>136</v>
      </c>
    </row>
    <row r="58" spans="1:10">
      <c r="A58" s="82" t="s">
        <v>137</v>
      </c>
      <c r="B58" s="1542" t="s">
        <v>190</v>
      </c>
      <c r="C58" s="1542"/>
      <c r="D58" s="1542"/>
      <c r="E58" s="1542"/>
      <c r="F58" s="1542"/>
      <c r="G58" s="1542"/>
      <c r="H58" s="1542"/>
      <c r="I58" s="1542"/>
      <c r="J58" s="1542"/>
    </row>
  </sheetData>
  <mergeCells count="5">
    <mergeCell ref="B13:K13"/>
    <mergeCell ref="B24:K24"/>
    <mergeCell ref="B27:F27"/>
    <mergeCell ref="B58:J58"/>
    <mergeCell ref="C18:J18"/>
  </mergeCells>
  <phoneticPr fontId="1"/>
  <pageMargins left="0.51181102362204722" right="0.11811023622047244" top="0.55118110236220474" bottom="0.55118110236220474" header="0.11811023622047244" footer="0.1181102362204724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B84"/>
  <sheetViews>
    <sheetView topLeftCell="A64" zoomScale="75" zoomScaleNormal="75" workbookViewId="0">
      <selection activeCell="R20" sqref="R20"/>
    </sheetView>
  </sheetViews>
  <sheetFormatPr defaultColWidth="9" defaultRowHeight="13.5"/>
  <cols>
    <col min="1" max="1" width="2.75" style="22" customWidth="1"/>
    <col min="2" max="2" width="4.5" style="22" customWidth="1"/>
    <col min="3" max="4" width="9" style="22"/>
    <col min="5" max="5" width="7.375" style="22" customWidth="1"/>
    <col min="6" max="6" width="9" style="22"/>
    <col min="7" max="7" width="13.25" style="22" bestFit="1" customWidth="1"/>
    <col min="8" max="8" width="9.25" style="22" bestFit="1" customWidth="1"/>
    <col min="9" max="9" width="13.25" style="22" bestFit="1" customWidth="1"/>
    <col min="10" max="10" width="9.25" style="22" bestFit="1" customWidth="1"/>
    <col min="11" max="11" width="13.25" style="22" bestFit="1" customWidth="1"/>
    <col min="12" max="12" width="9.25" style="22" bestFit="1" customWidth="1"/>
    <col min="13" max="13" width="7.125" style="22" bestFit="1" customWidth="1"/>
    <col min="14" max="14" width="7.125" style="22" customWidth="1"/>
    <col min="15" max="16384" width="9" style="22"/>
  </cols>
  <sheetData>
    <row r="1" spans="2:28">
      <c r="D1" s="23"/>
    </row>
    <row r="2" spans="2:28" ht="18" thickBot="1">
      <c r="B2" s="1543" t="s">
        <v>180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</row>
    <row r="3" spans="2:28">
      <c r="B3" s="1544" t="s">
        <v>46</v>
      </c>
      <c r="C3" s="1545"/>
      <c r="D3" s="1545" t="s">
        <v>47</v>
      </c>
      <c r="E3" s="1545"/>
      <c r="F3" s="1547"/>
      <c r="G3" s="1548" t="s">
        <v>48</v>
      </c>
      <c r="H3" s="1549"/>
      <c r="I3" s="1549"/>
      <c r="J3" s="1549"/>
      <c r="K3" s="1549"/>
      <c r="L3" s="1550"/>
      <c r="M3" s="1544" t="s">
        <v>49</v>
      </c>
      <c r="N3" s="1551"/>
      <c r="O3" s="1552"/>
    </row>
    <row r="4" spans="2:28" ht="27">
      <c r="B4" s="861"/>
      <c r="C4" s="870"/>
      <c r="D4" s="870" t="s">
        <v>50</v>
      </c>
      <c r="E4" s="870" t="s">
        <v>51</v>
      </c>
      <c r="F4" s="1553" t="s">
        <v>52</v>
      </c>
      <c r="G4" s="24">
        <v>9</v>
      </c>
      <c r="H4" s="25" t="s">
        <v>53</v>
      </c>
      <c r="I4" s="26">
        <v>12</v>
      </c>
      <c r="J4" s="25" t="s">
        <v>53</v>
      </c>
      <c r="K4" s="26">
        <v>15</v>
      </c>
      <c r="L4" s="849" t="s">
        <v>636</v>
      </c>
      <c r="M4" s="1554" t="s">
        <v>635</v>
      </c>
      <c r="N4" s="1555" t="s">
        <v>184</v>
      </c>
      <c r="O4" s="1557" t="s">
        <v>49</v>
      </c>
      <c r="AA4" s="849" t="s">
        <v>636</v>
      </c>
      <c r="AB4" s="850" t="s">
        <v>635</v>
      </c>
    </row>
    <row r="5" spans="2:28">
      <c r="B5" s="861"/>
      <c r="C5" s="870"/>
      <c r="D5" s="870"/>
      <c r="E5" s="870"/>
      <c r="F5" s="1553"/>
      <c r="G5" s="28" t="s">
        <v>55</v>
      </c>
      <c r="H5" s="29" t="s">
        <v>48</v>
      </c>
      <c r="I5" s="29" t="s">
        <v>55</v>
      </c>
      <c r="J5" s="29" t="s">
        <v>48</v>
      </c>
      <c r="K5" s="29" t="s">
        <v>55</v>
      </c>
      <c r="L5" s="30" t="s">
        <v>48</v>
      </c>
      <c r="M5" s="861"/>
      <c r="N5" s="1556"/>
      <c r="O5" s="1557"/>
    </row>
    <row r="6" spans="2:28" ht="14.25" thickBot="1">
      <c r="B6" s="862"/>
      <c r="C6" s="1546"/>
      <c r="D6" s="1546"/>
      <c r="E6" s="31" t="s">
        <v>56</v>
      </c>
      <c r="F6" s="32" t="s">
        <v>1025</v>
      </c>
      <c r="G6" s="33" t="s">
        <v>811</v>
      </c>
      <c r="H6" s="31" t="s">
        <v>12</v>
      </c>
      <c r="I6" s="31" t="s">
        <v>811</v>
      </c>
      <c r="J6" s="31" t="s">
        <v>12</v>
      </c>
      <c r="K6" s="31" t="s">
        <v>811</v>
      </c>
      <c r="L6" s="34" t="s">
        <v>12</v>
      </c>
      <c r="M6" s="53" t="s">
        <v>811</v>
      </c>
      <c r="N6" s="153" t="s">
        <v>10</v>
      </c>
      <c r="O6" s="130" t="s">
        <v>12</v>
      </c>
    </row>
    <row r="7" spans="2:28" ht="14.25" thickBot="1">
      <c r="B7" s="1558" t="s">
        <v>60</v>
      </c>
      <c r="C7" s="37" t="s">
        <v>61</v>
      </c>
      <c r="D7" s="38" t="s">
        <v>10</v>
      </c>
      <c r="E7" s="38">
        <f>入力!D39</f>
        <v>0</v>
      </c>
      <c r="F7" s="163">
        <f>熱貫流率計算!H9</f>
        <v>3.91</v>
      </c>
      <c r="G7" s="335">
        <f>'外壁実効温度差（ETD)一覧表'!L21</f>
        <v>7.0999999999999979</v>
      </c>
      <c r="H7" s="112">
        <f>G7*F7*E7</f>
        <v>0</v>
      </c>
      <c r="I7" s="114">
        <f>'外壁実効温度差（ETD)一覧表'!O21</f>
        <v>16.099999999999998</v>
      </c>
      <c r="J7" s="112">
        <f>I7*F7*E7</f>
        <v>0</v>
      </c>
      <c r="K7" s="118">
        <f>'外壁実効温度差（ETD)一覧表'!R21</f>
        <v>23.099999999999998</v>
      </c>
      <c r="L7" s="113">
        <f>K7*F7*E7</f>
        <v>0</v>
      </c>
      <c r="M7" s="131">
        <f>20--1.5</f>
        <v>21.5</v>
      </c>
      <c r="N7" s="159">
        <v>1</v>
      </c>
      <c r="O7" s="60">
        <f>M7*F7*E7*N7</f>
        <v>0</v>
      </c>
    </row>
    <row r="8" spans="2:28">
      <c r="B8" s="1559"/>
      <c r="C8" s="1544" t="s">
        <v>62</v>
      </c>
      <c r="D8" s="42" t="s">
        <v>63</v>
      </c>
      <c r="E8" s="42">
        <f>入力!D40</f>
        <v>0</v>
      </c>
      <c r="F8" s="173">
        <f>温度条件他根拠!C33</f>
        <v>1.18</v>
      </c>
      <c r="G8" s="336">
        <f>'外壁実効温度差（ETD)一覧表'!L22</f>
        <v>3.0999999999999979</v>
      </c>
      <c r="H8" s="45">
        <f t="shared" ref="H8:H23" si="0">G8*F8*E8</f>
        <v>0</v>
      </c>
      <c r="I8" s="115">
        <f>'外壁実効温度差（ETD)一覧表'!O22</f>
        <v>4.0999999999999979</v>
      </c>
      <c r="J8" s="45">
        <f>I8*F8*E8</f>
        <v>0</v>
      </c>
      <c r="K8" s="116">
        <f>'外壁実効温度差（ETD)一覧表'!R22</f>
        <v>6.0999999999999979</v>
      </c>
      <c r="L8" s="46">
        <f t="shared" ref="L8:L23" si="1">K8*F8*E8</f>
        <v>0</v>
      </c>
      <c r="M8" s="44">
        <f t="shared" ref="M8:M23" si="2">20--1.5</f>
        <v>21.5</v>
      </c>
      <c r="N8" s="154">
        <v>1.1000000000000001</v>
      </c>
      <c r="O8" s="46">
        <f>M8*F8*E8*N8</f>
        <v>0</v>
      </c>
    </row>
    <row r="9" spans="2:28">
      <c r="B9" s="1559"/>
      <c r="C9" s="861"/>
      <c r="D9" s="4" t="s">
        <v>64</v>
      </c>
      <c r="E9" s="4">
        <f>入力!D41</f>
        <v>0</v>
      </c>
      <c r="F9" s="174">
        <f>温度条件他根拠!$C$33</f>
        <v>1.18</v>
      </c>
      <c r="G9" s="337">
        <f>'外壁実効温度差（ETD)一覧表'!L23</f>
        <v>7.0999999999999979</v>
      </c>
      <c r="H9" s="48">
        <f t="shared" si="0"/>
        <v>0</v>
      </c>
      <c r="I9" s="63">
        <f>'外壁実効温度差（ETD)一覧表'!O23</f>
        <v>9.0999999999999979</v>
      </c>
      <c r="J9" s="48">
        <f>I9*F9*E9</f>
        <v>0</v>
      </c>
      <c r="K9" s="117">
        <f>'外壁実効温度差（ETD)一覧表'!R23</f>
        <v>9.0999999999999979</v>
      </c>
      <c r="L9" s="41">
        <f t="shared" si="1"/>
        <v>0</v>
      </c>
      <c r="M9" s="35">
        <f t="shared" si="2"/>
        <v>21.5</v>
      </c>
      <c r="N9" s="84">
        <v>1.05</v>
      </c>
      <c r="O9" s="41">
        <f>M9*F9*E9*N9</f>
        <v>0</v>
      </c>
    </row>
    <row r="10" spans="2:28">
      <c r="B10" s="1559"/>
      <c r="C10" s="861"/>
      <c r="D10" s="4" t="s">
        <v>65</v>
      </c>
      <c r="E10" s="4">
        <f>入力!D42</f>
        <v>0</v>
      </c>
      <c r="F10" s="174">
        <f>温度条件他根拠!$C$33</f>
        <v>1.18</v>
      </c>
      <c r="G10" s="337">
        <f>'外壁実効温度差（ETD)一覧表'!L24</f>
        <v>8.0999999999999979</v>
      </c>
      <c r="H10" s="48">
        <f t="shared" si="0"/>
        <v>0</v>
      </c>
      <c r="I10" s="63">
        <f>'外壁実効温度差（ETD)一覧表'!O24</f>
        <v>12.099999999999998</v>
      </c>
      <c r="J10" s="48">
        <f t="shared" ref="J10:J23" si="3">I10*F10*E10</f>
        <v>0</v>
      </c>
      <c r="K10" s="117">
        <f>'外壁実効温度差（ETD)一覧表'!R24</f>
        <v>11.099999999999998</v>
      </c>
      <c r="L10" s="41">
        <f t="shared" si="1"/>
        <v>0</v>
      </c>
      <c r="M10" s="35">
        <f t="shared" si="2"/>
        <v>21.5</v>
      </c>
      <c r="N10" s="84">
        <v>1.05</v>
      </c>
      <c r="O10" s="41">
        <f t="shared" ref="O10:O14" si="4">M10*F10*E10*N10</f>
        <v>0</v>
      </c>
    </row>
    <row r="11" spans="2:28">
      <c r="B11" s="1559"/>
      <c r="C11" s="861"/>
      <c r="D11" s="4" t="s">
        <v>66</v>
      </c>
      <c r="E11" s="4">
        <f>入力!D43</f>
        <v>0</v>
      </c>
      <c r="F11" s="174">
        <f>温度条件他根拠!$C$33</f>
        <v>1.18</v>
      </c>
      <c r="G11" s="337">
        <f>'外壁実効温度差（ETD)一覧表'!L25</f>
        <v>6.0999999999999979</v>
      </c>
      <c r="H11" s="48">
        <f t="shared" si="0"/>
        <v>0</v>
      </c>
      <c r="I11" s="63">
        <f>'外壁実効温度差（ETD)一覧表'!O25</f>
        <v>11.099999999999998</v>
      </c>
      <c r="J11" s="48">
        <f t="shared" si="3"/>
        <v>0</v>
      </c>
      <c r="K11" s="117">
        <f>'外壁実効温度差（ETD)一覧表'!R25</f>
        <v>11.099999999999998</v>
      </c>
      <c r="L11" s="41">
        <f t="shared" si="1"/>
        <v>0</v>
      </c>
      <c r="M11" s="35">
        <f t="shared" si="2"/>
        <v>21.5</v>
      </c>
      <c r="N11" s="84">
        <v>1.05</v>
      </c>
      <c r="O11" s="41">
        <f t="shared" si="4"/>
        <v>0</v>
      </c>
    </row>
    <row r="12" spans="2:28">
      <c r="B12" s="1559"/>
      <c r="C12" s="861"/>
      <c r="D12" s="4" t="s">
        <v>67</v>
      </c>
      <c r="E12" s="4">
        <f>入力!D44</f>
        <v>0</v>
      </c>
      <c r="F12" s="174">
        <f>温度条件他根拠!$C$33</f>
        <v>1.18</v>
      </c>
      <c r="G12" s="337">
        <f>'外壁実効温度差（ETD)一覧表'!L26</f>
        <v>2.0999999999999979</v>
      </c>
      <c r="H12" s="48">
        <f t="shared" si="0"/>
        <v>0</v>
      </c>
      <c r="I12" s="63">
        <f>'外壁実効温度差（ETD)一覧表'!O26</f>
        <v>5.0999999999999979</v>
      </c>
      <c r="J12" s="48">
        <f t="shared" si="3"/>
        <v>0</v>
      </c>
      <c r="K12" s="117">
        <f>'外壁実効温度差（ETD)一覧表'!R26</f>
        <v>9.0999999999999979</v>
      </c>
      <c r="L12" s="41">
        <f t="shared" si="1"/>
        <v>0</v>
      </c>
      <c r="M12" s="35">
        <f t="shared" si="2"/>
        <v>21.5</v>
      </c>
      <c r="N12" s="84">
        <v>1</v>
      </c>
      <c r="O12" s="41">
        <f t="shared" si="4"/>
        <v>0</v>
      </c>
    </row>
    <row r="13" spans="2:28">
      <c r="B13" s="1559"/>
      <c r="C13" s="861"/>
      <c r="D13" s="4" t="s">
        <v>68</v>
      </c>
      <c r="E13" s="4">
        <f>入力!D45</f>
        <v>0</v>
      </c>
      <c r="F13" s="174">
        <f>温度条件他根拠!$C$33</f>
        <v>1.18</v>
      </c>
      <c r="G13" s="337">
        <f>'外壁実効温度差（ETD)一覧表'!L27</f>
        <v>2.0999999999999979</v>
      </c>
      <c r="H13" s="48">
        <f t="shared" si="0"/>
        <v>0</v>
      </c>
      <c r="I13" s="63">
        <f>'外壁実効温度差（ETD)一覧表'!O27</f>
        <v>4.0999999999999979</v>
      </c>
      <c r="J13" s="48">
        <f t="shared" si="3"/>
        <v>0</v>
      </c>
      <c r="K13" s="117">
        <f>'外壁実効温度差（ETD)一覧表'!R27</f>
        <v>9.0999999999999979</v>
      </c>
      <c r="L13" s="41">
        <f t="shared" si="1"/>
        <v>0</v>
      </c>
      <c r="M13" s="35">
        <f t="shared" si="2"/>
        <v>21.5</v>
      </c>
      <c r="N13" s="84">
        <v>1.05</v>
      </c>
      <c r="O13" s="41">
        <f t="shared" si="4"/>
        <v>0</v>
      </c>
    </row>
    <row r="14" spans="2:28">
      <c r="B14" s="1559"/>
      <c r="C14" s="861"/>
      <c r="D14" s="4" t="s">
        <v>69</v>
      </c>
      <c r="E14" s="4">
        <f>入力!D46</f>
        <v>0</v>
      </c>
      <c r="F14" s="174">
        <f>温度条件他根拠!$C$33</f>
        <v>1.18</v>
      </c>
      <c r="G14" s="337">
        <f>'外壁実効温度差（ETD)一覧表'!L28</f>
        <v>2.0999999999999979</v>
      </c>
      <c r="H14" s="48">
        <f t="shared" si="0"/>
        <v>0</v>
      </c>
      <c r="I14" s="63">
        <f>'外壁実効温度差（ETD)一覧表'!O28</f>
        <v>4.0999999999999979</v>
      </c>
      <c r="J14" s="48">
        <f t="shared" si="3"/>
        <v>0</v>
      </c>
      <c r="K14" s="117">
        <f>'外壁実効温度差（ETD)一覧表'!R28</f>
        <v>8.0999999999999979</v>
      </c>
      <c r="L14" s="41">
        <f t="shared" si="1"/>
        <v>0</v>
      </c>
      <c r="M14" s="35">
        <f t="shared" si="2"/>
        <v>21.5</v>
      </c>
      <c r="N14" s="84">
        <v>1.1000000000000001</v>
      </c>
      <c r="O14" s="41">
        <f t="shared" si="4"/>
        <v>0</v>
      </c>
    </row>
    <row r="15" spans="2:28" ht="14.25" thickBot="1">
      <c r="B15" s="1559"/>
      <c r="C15" s="862"/>
      <c r="D15" s="31" t="s">
        <v>70</v>
      </c>
      <c r="E15" s="31">
        <f>入力!D47</f>
        <v>0</v>
      </c>
      <c r="F15" s="175">
        <f>温度条件他根拠!$C$33</f>
        <v>1.18</v>
      </c>
      <c r="G15" s="338">
        <f>'外壁実効温度差（ETD)一覧表'!L29</f>
        <v>2.0999999999999979</v>
      </c>
      <c r="H15" s="54">
        <f t="shared" si="0"/>
        <v>0</v>
      </c>
      <c r="I15" s="125">
        <f>'外壁実効温度差（ETD)一覧表'!O29</f>
        <v>4.0999999999999979</v>
      </c>
      <c r="J15" s="54">
        <f t="shared" si="3"/>
        <v>0</v>
      </c>
      <c r="K15" s="126">
        <f>'外壁実効温度差（ETD)一覧表'!R29</f>
        <v>6.0999999999999979</v>
      </c>
      <c r="L15" s="55">
        <f t="shared" si="1"/>
        <v>0</v>
      </c>
      <c r="M15" s="33">
        <f t="shared" si="2"/>
        <v>21.5</v>
      </c>
      <c r="N15" s="155">
        <v>1.1000000000000001</v>
      </c>
      <c r="O15" s="50">
        <f>M15*F15*E15*N15</f>
        <v>0</v>
      </c>
    </row>
    <row r="16" spans="2:28">
      <c r="B16" s="1559"/>
      <c r="C16" s="1544" t="s">
        <v>71</v>
      </c>
      <c r="D16" s="42" t="s">
        <v>63</v>
      </c>
      <c r="E16" s="42">
        <f>入力!D48</f>
        <v>0</v>
      </c>
      <c r="F16" s="43">
        <f>温度条件他根拠!C34</f>
        <v>5.95</v>
      </c>
      <c r="G16" s="336">
        <f>温度条件他根拠!E8-温度条件他根拠!E10</f>
        <v>3.8999999999999986</v>
      </c>
      <c r="H16" s="45">
        <f t="shared" si="0"/>
        <v>0</v>
      </c>
      <c r="I16" s="115">
        <f>温度条件他根拠!E8-温度条件他根拠!E10</f>
        <v>3.8999999999999986</v>
      </c>
      <c r="J16" s="45">
        <f t="shared" si="3"/>
        <v>0</v>
      </c>
      <c r="K16" s="115">
        <f>温度条件他根拠!E8-温度条件他根拠!E10</f>
        <v>3.8999999999999986</v>
      </c>
      <c r="L16" s="46">
        <f t="shared" si="1"/>
        <v>0</v>
      </c>
      <c r="M16" s="44">
        <f t="shared" si="2"/>
        <v>21.5</v>
      </c>
      <c r="N16" s="154">
        <v>1.1000000000000001</v>
      </c>
      <c r="O16" s="46">
        <f>M16*F16*E16*N16</f>
        <v>0</v>
      </c>
    </row>
    <row r="17" spans="2:15">
      <c r="B17" s="1559"/>
      <c r="C17" s="861"/>
      <c r="D17" s="4" t="s">
        <v>64</v>
      </c>
      <c r="E17" s="4">
        <f>入力!D49</f>
        <v>0</v>
      </c>
      <c r="F17" s="47">
        <f>温度条件他根拠!C34</f>
        <v>5.95</v>
      </c>
      <c r="G17" s="337">
        <f>G16</f>
        <v>3.8999999999999986</v>
      </c>
      <c r="H17" s="48">
        <f t="shared" si="0"/>
        <v>0</v>
      </c>
      <c r="I17" s="63">
        <f>I16</f>
        <v>3.8999999999999986</v>
      </c>
      <c r="J17" s="48">
        <f t="shared" si="3"/>
        <v>0</v>
      </c>
      <c r="K17" s="63">
        <f>K16</f>
        <v>3.8999999999999986</v>
      </c>
      <c r="L17" s="41">
        <f t="shared" si="1"/>
        <v>0</v>
      </c>
      <c r="M17" s="35">
        <f t="shared" si="2"/>
        <v>21.5</v>
      </c>
      <c r="N17" s="84">
        <v>1.05</v>
      </c>
      <c r="O17" s="41">
        <f>M17*F17*E17*N17</f>
        <v>0</v>
      </c>
    </row>
    <row r="18" spans="2:15">
      <c r="B18" s="1559"/>
      <c r="C18" s="861"/>
      <c r="D18" s="4" t="s">
        <v>65</v>
      </c>
      <c r="E18" s="4">
        <f>入力!D50</f>
        <v>0</v>
      </c>
      <c r="F18" s="47">
        <f>温度条件他根拠!C34</f>
        <v>5.95</v>
      </c>
      <c r="G18" s="337">
        <f t="shared" ref="G18:G22" si="5">G17</f>
        <v>3.8999999999999986</v>
      </c>
      <c r="H18" s="48">
        <f t="shared" si="0"/>
        <v>0</v>
      </c>
      <c r="I18" s="63">
        <f t="shared" ref="I18:K22" si="6">I17</f>
        <v>3.8999999999999986</v>
      </c>
      <c r="J18" s="48">
        <f t="shared" si="3"/>
        <v>0</v>
      </c>
      <c r="K18" s="63">
        <f t="shared" si="6"/>
        <v>3.8999999999999986</v>
      </c>
      <c r="L18" s="41">
        <f t="shared" si="1"/>
        <v>0</v>
      </c>
      <c r="M18" s="35">
        <f t="shared" si="2"/>
        <v>21.5</v>
      </c>
      <c r="N18" s="84">
        <v>1.05</v>
      </c>
      <c r="O18" s="41">
        <f t="shared" ref="O18:O22" si="7">M18*F18*E18*N18</f>
        <v>0</v>
      </c>
    </row>
    <row r="19" spans="2:15">
      <c r="B19" s="1559"/>
      <c r="C19" s="861"/>
      <c r="D19" s="4" t="s">
        <v>66</v>
      </c>
      <c r="E19" s="4">
        <f>入力!D51</f>
        <v>0</v>
      </c>
      <c r="F19" s="47">
        <f>温度条件他根拠!C34</f>
        <v>5.95</v>
      </c>
      <c r="G19" s="337">
        <f t="shared" si="5"/>
        <v>3.8999999999999986</v>
      </c>
      <c r="H19" s="48">
        <f t="shared" si="0"/>
        <v>0</v>
      </c>
      <c r="I19" s="63">
        <f t="shared" si="6"/>
        <v>3.8999999999999986</v>
      </c>
      <c r="J19" s="48">
        <f t="shared" si="3"/>
        <v>0</v>
      </c>
      <c r="K19" s="63">
        <f t="shared" si="6"/>
        <v>3.8999999999999986</v>
      </c>
      <c r="L19" s="41">
        <f t="shared" si="1"/>
        <v>0</v>
      </c>
      <c r="M19" s="35">
        <f t="shared" si="2"/>
        <v>21.5</v>
      </c>
      <c r="N19" s="84">
        <v>1.05</v>
      </c>
      <c r="O19" s="41">
        <f t="shared" si="7"/>
        <v>0</v>
      </c>
    </row>
    <row r="20" spans="2:15">
      <c r="B20" s="1559"/>
      <c r="C20" s="861"/>
      <c r="D20" s="4" t="s">
        <v>67</v>
      </c>
      <c r="E20" s="4">
        <f>入力!D52</f>
        <v>0</v>
      </c>
      <c r="F20" s="47">
        <f>温度条件他根拠!C34</f>
        <v>5.95</v>
      </c>
      <c r="G20" s="337">
        <f t="shared" si="5"/>
        <v>3.8999999999999986</v>
      </c>
      <c r="H20" s="48">
        <f t="shared" si="0"/>
        <v>0</v>
      </c>
      <c r="I20" s="63">
        <f t="shared" si="6"/>
        <v>3.8999999999999986</v>
      </c>
      <c r="J20" s="48">
        <f t="shared" si="3"/>
        <v>0</v>
      </c>
      <c r="K20" s="63">
        <f t="shared" si="6"/>
        <v>3.8999999999999986</v>
      </c>
      <c r="L20" s="41">
        <f t="shared" si="1"/>
        <v>0</v>
      </c>
      <c r="M20" s="35">
        <f t="shared" si="2"/>
        <v>21.5</v>
      </c>
      <c r="N20" s="84">
        <v>1</v>
      </c>
      <c r="O20" s="41">
        <f t="shared" si="7"/>
        <v>0</v>
      </c>
    </row>
    <row r="21" spans="2:15">
      <c r="B21" s="1559"/>
      <c r="C21" s="861"/>
      <c r="D21" s="4" t="s">
        <v>68</v>
      </c>
      <c r="E21" s="4">
        <f>入力!D53</f>
        <v>0</v>
      </c>
      <c r="F21" s="47">
        <f>温度条件他根拠!C34</f>
        <v>5.95</v>
      </c>
      <c r="G21" s="337">
        <f t="shared" si="5"/>
        <v>3.8999999999999986</v>
      </c>
      <c r="H21" s="48">
        <f t="shared" si="0"/>
        <v>0</v>
      </c>
      <c r="I21" s="63">
        <f t="shared" si="6"/>
        <v>3.8999999999999986</v>
      </c>
      <c r="J21" s="48">
        <f t="shared" si="3"/>
        <v>0</v>
      </c>
      <c r="K21" s="63">
        <f t="shared" si="6"/>
        <v>3.8999999999999986</v>
      </c>
      <c r="L21" s="41">
        <f t="shared" si="1"/>
        <v>0</v>
      </c>
      <c r="M21" s="35">
        <f t="shared" si="2"/>
        <v>21.5</v>
      </c>
      <c r="N21" s="84">
        <v>1.05</v>
      </c>
      <c r="O21" s="41">
        <f t="shared" si="7"/>
        <v>0</v>
      </c>
    </row>
    <row r="22" spans="2:15">
      <c r="B22" s="1559"/>
      <c r="C22" s="861"/>
      <c r="D22" s="4" t="s">
        <v>69</v>
      </c>
      <c r="E22" s="4">
        <f>入力!D54</f>
        <v>0</v>
      </c>
      <c r="F22" s="47">
        <f>温度条件他根拠!C34</f>
        <v>5.95</v>
      </c>
      <c r="G22" s="337">
        <f t="shared" si="5"/>
        <v>3.8999999999999986</v>
      </c>
      <c r="H22" s="48">
        <f t="shared" si="0"/>
        <v>0</v>
      </c>
      <c r="I22" s="63">
        <f t="shared" si="6"/>
        <v>3.8999999999999986</v>
      </c>
      <c r="J22" s="48">
        <f t="shared" si="3"/>
        <v>0</v>
      </c>
      <c r="K22" s="63">
        <f t="shared" si="6"/>
        <v>3.8999999999999986</v>
      </c>
      <c r="L22" s="41">
        <f t="shared" si="1"/>
        <v>0</v>
      </c>
      <c r="M22" s="35">
        <f t="shared" si="2"/>
        <v>21.5</v>
      </c>
      <c r="N22" s="84">
        <v>1.1000000000000001</v>
      </c>
      <c r="O22" s="41">
        <f t="shared" si="7"/>
        <v>0</v>
      </c>
    </row>
    <row r="23" spans="2:15" ht="14.25" thickBot="1">
      <c r="B23" s="1560"/>
      <c r="C23" s="1561"/>
      <c r="D23" s="51" t="s">
        <v>70</v>
      </c>
      <c r="E23" s="31">
        <f>入力!D55</f>
        <v>0</v>
      </c>
      <c r="F23" s="52">
        <f>温度条件他根拠!C34</f>
        <v>5.95</v>
      </c>
      <c r="G23" s="339">
        <f>G22</f>
        <v>3.8999999999999986</v>
      </c>
      <c r="H23" s="49">
        <f t="shared" si="0"/>
        <v>0</v>
      </c>
      <c r="I23" s="80">
        <f>I22</f>
        <v>3.8999999999999986</v>
      </c>
      <c r="J23" s="49">
        <f t="shared" si="3"/>
        <v>0</v>
      </c>
      <c r="K23" s="80">
        <f>K22</f>
        <v>3.8999999999999986</v>
      </c>
      <c r="L23" s="50">
        <f t="shared" si="1"/>
        <v>0</v>
      </c>
      <c r="M23" s="33">
        <f t="shared" si="2"/>
        <v>21.5</v>
      </c>
      <c r="N23" s="155">
        <v>1.1000000000000001</v>
      </c>
      <c r="O23" s="50">
        <f>M23*F23*E23*N23</f>
        <v>0</v>
      </c>
    </row>
    <row r="24" spans="2:15" ht="18" customHeight="1" thickBot="1">
      <c r="B24" s="1562" t="s">
        <v>72</v>
      </c>
      <c r="C24" s="1563"/>
      <c r="D24" s="1563"/>
      <c r="E24" s="56"/>
      <c r="F24" s="57"/>
      <c r="G24" s="127"/>
      <c r="H24" s="39">
        <f>SUM(H7:H23)</f>
        <v>0</v>
      </c>
      <c r="I24" s="128"/>
      <c r="J24" s="39">
        <f>SUM(J7:J23)</f>
        <v>0</v>
      </c>
      <c r="K24" s="129"/>
      <c r="L24" s="40">
        <f>SUM(L7:L23)</f>
        <v>0</v>
      </c>
      <c r="M24" s="58"/>
      <c r="N24" s="74"/>
      <c r="O24" s="60">
        <f>SUM(O7:O23)</f>
        <v>0</v>
      </c>
    </row>
    <row r="25" spans="2:15">
      <c r="B25" s="1544" t="s">
        <v>46</v>
      </c>
      <c r="C25" s="1545"/>
      <c r="D25" s="1545" t="s">
        <v>47</v>
      </c>
      <c r="E25" s="1545"/>
      <c r="F25" s="1552"/>
      <c r="G25" s="1564" t="s">
        <v>48</v>
      </c>
      <c r="H25" s="1545"/>
      <c r="I25" s="1545"/>
      <c r="J25" s="1545"/>
      <c r="K25" s="1545"/>
      <c r="L25" s="1552"/>
      <c r="M25" s="61"/>
      <c r="N25" s="156"/>
      <c r="O25" s="62"/>
    </row>
    <row r="26" spans="2:15">
      <c r="B26" s="861"/>
      <c r="C26" s="870"/>
      <c r="D26" s="870" t="s">
        <v>50</v>
      </c>
      <c r="E26" s="870" t="s">
        <v>51</v>
      </c>
      <c r="F26" s="1557" t="s">
        <v>73</v>
      </c>
      <c r="G26" s="24">
        <v>9</v>
      </c>
      <c r="H26" s="25" t="s">
        <v>53</v>
      </c>
      <c r="I26" s="26">
        <v>12</v>
      </c>
      <c r="J26" s="25" t="s">
        <v>53</v>
      </c>
      <c r="K26" s="26">
        <v>15</v>
      </c>
      <c r="L26" s="27" t="s">
        <v>53</v>
      </c>
      <c r="M26" s="64"/>
      <c r="N26" s="157"/>
      <c r="O26" s="65"/>
    </row>
    <row r="27" spans="2:15">
      <c r="B27" s="861"/>
      <c r="C27" s="870"/>
      <c r="D27" s="870"/>
      <c r="E27" s="870"/>
      <c r="F27" s="1557"/>
      <c r="G27" s="66" t="s">
        <v>74</v>
      </c>
      <c r="H27" s="4" t="s">
        <v>48</v>
      </c>
      <c r="I27" s="4" t="s">
        <v>74</v>
      </c>
      <c r="J27" s="4" t="s">
        <v>48</v>
      </c>
      <c r="K27" s="4" t="s">
        <v>74</v>
      </c>
      <c r="L27" s="36" t="s">
        <v>48</v>
      </c>
      <c r="M27" s="64"/>
      <c r="N27" s="157"/>
      <c r="O27" s="65"/>
    </row>
    <row r="28" spans="2:15" ht="14.25" thickBot="1">
      <c r="B28" s="862"/>
      <c r="C28" s="1546"/>
      <c r="D28" s="1546"/>
      <c r="E28" s="31" t="s">
        <v>56</v>
      </c>
      <c r="F28" s="34" t="s">
        <v>10</v>
      </c>
      <c r="G28" s="67" t="s">
        <v>75</v>
      </c>
      <c r="H28" s="31" t="s">
        <v>12</v>
      </c>
      <c r="I28" s="31" t="s">
        <v>75</v>
      </c>
      <c r="J28" s="31" t="s">
        <v>12</v>
      </c>
      <c r="K28" s="31" t="s">
        <v>75</v>
      </c>
      <c r="L28" s="34" t="s">
        <v>12</v>
      </c>
      <c r="M28" s="64"/>
      <c r="N28" s="157"/>
      <c r="O28" s="65"/>
    </row>
    <row r="29" spans="2:15">
      <c r="B29" s="1565" t="s">
        <v>76</v>
      </c>
      <c r="C29" s="1556" t="s">
        <v>71</v>
      </c>
      <c r="D29" s="29" t="s">
        <v>63</v>
      </c>
      <c r="E29" s="29">
        <f>E16</f>
        <v>0</v>
      </c>
      <c r="F29" s="30">
        <f>温度条件他根拠!C35</f>
        <v>0.876</v>
      </c>
      <c r="G29" s="321">
        <f>標準日射取得量1!G6</f>
        <v>39.06</v>
      </c>
      <c r="H29" s="78">
        <f>G29*F29*E29</f>
        <v>0</v>
      </c>
      <c r="I29" s="324">
        <f>標準日射取得量1!J6</f>
        <v>39.99</v>
      </c>
      <c r="J29" s="78">
        <f>I29*F29*E29</f>
        <v>0</v>
      </c>
      <c r="K29" s="324">
        <f>標準日射取得量1!M6</f>
        <v>37.200000000000003</v>
      </c>
      <c r="L29" s="79">
        <f>K29*F29*E29</f>
        <v>0</v>
      </c>
      <c r="M29" s="64"/>
      <c r="N29" s="157"/>
      <c r="O29" s="65"/>
    </row>
    <row r="30" spans="2:15">
      <c r="B30" s="1565"/>
      <c r="C30" s="870"/>
      <c r="D30" s="4" t="s">
        <v>64</v>
      </c>
      <c r="E30" s="4">
        <f>E17</f>
        <v>0</v>
      </c>
      <c r="F30" s="36">
        <f>温度条件他根拠!C35</f>
        <v>0.876</v>
      </c>
      <c r="G30" s="321">
        <f>標準日射取得量1!G7</f>
        <v>227.85000000000002</v>
      </c>
      <c r="H30" s="48">
        <f t="shared" ref="H30:H36" si="8">G30*F30*E30</f>
        <v>0</v>
      </c>
      <c r="I30" s="324">
        <f>標準日射取得量1!J7</f>
        <v>39.99</v>
      </c>
      <c r="J30" s="48">
        <f t="shared" ref="J30:J36" si="9">I30*F30*E30</f>
        <v>0</v>
      </c>
      <c r="K30" s="324">
        <f>標準日射取得量1!M7</f>
        <v>37.200000000000003</v>
      </c>
      <c r="L30" s="41">
        <f t="shared" ref="L30:L36" si="10">K30*F30*E30</f>
        <v>0</v>
      </c>
      <c r="M30" s="64"/>
      <c r="N30" s="157"/>
      <c r="O30" s="65"/>
    </row>
    <row r="31" spans="2:15">
      <c r="B31" s="1565"/>
      <c r="C31" s="870"/>
      <c r="D31" s="4" t="s">
        <v>65</v>
      </c>
      <c r="E31" s="4">
        <f t="shared" ref="E31:E36" si="11">E18</f>
        <v>0</v>
      </c>
      <c r="F31" s="36">
        <f>温度条件他根拠!C35</f>
        <v>0.876</v>
      </c>
      <c r="G31" s="321">
        <f>標準日射取得量1!G8</f>
        <v>456.63000000000005</v>
      </c>
      <c r="H31" s="48">
        <f t="shared" si="8"/>
        <v>0</v>
      </c>
      <c r="I31" s="324">
        <f>標準日射取得量1!J8</f>
        <v>39.99</v>
      </c>
      <c r="J31" s="48">
        <f t="shared" si="9"/>
        <v>0</v>
      </c>
      <c r="K31" s="324">
        <f>標準日射取得量1!M8</f>
        <v>37.200000000000003</v>
      </c>
      <c r="L31" s="41">
        <f t="shared" si="10"/>
        <v>0</v>
      </c>
      <c r="M31" s="64"/>
      <c r="N31" s="157"/>
      <c r="O31" s="65"/>
    </row>
    <row r="32" spans="2:15">
      <c r="B32" s="1565"/>
      <c r="C32" s="870"/>
      <c r="D32" s="4" t="s">
        <v>66</v>
      </c>
      <c r="E32" s="4">
        <f t="shared" si="11"/>
        <v>0</v>
      </c>
      <c r="F32" s="36">
        <f>温度条件他根拠!C35</f>
        <v>0.876</v>
      </c>
      <c r="G32" s="321">
        <f>標準日射取得量1!G9</f>
        <v>380.37</v>
      </c>
      <c r="H32" s="48">
        <f>G32*F32*E32</f>
        <v>0</v>
      </c>
      <c r="I32" s="324">
        <f>標準日射取得量1!J9</f>
        <v>86.490000000000009</v>
      </c>
      <c r="J32" s="48">
        <f t="shared" si="9"/>
        <v>0</v>
      </c>
      <c r="K32" s="324">
        <f>標準日射取得量1!M9</f>
        <v>37.200000000000003</v>
      </c>
      <c r="L32" s="41">
        <f t="shared" si="10"/>
        <v>0</v>
      </c>
      <c r="M32" s="64"/>
      <c r="N32" s="157"/>
      <c r="O32" s="65"/>
    </row>
    <row r="33" spans="2:15">
      <c r="B33" s="1565"/>
      <c r="C33" s="870"/>
      <c r="D33" s="4" t="s">
        <v>67</v>
      </c>
      <c r="E33" s="4">
        <f t="shared" si="11"/>
        <v>0</v>
      </c>
      <c r="F33" s="36">
        <f>温度条件他根拠!C35</f>
        <v>0.876</v>
      </c>
      <c r="G33" s="321">
        <f>標準日射取得量1!G10</f>
        <v>71.61</v>
      </c>
      <c r="H33" s="48">
        <f t="shared" si="8"/>
        <v>0</v>
      </c>
      <c r="I33" s="324">
        <f>標準日射取得量1!J10</f>
        <v>167.4</v>
      </c>
      <c r="J33" s="48">
        <f t="shared" si="9"/>
        <v>0</v>
      </c>
      <c r="K33" s="324">
        <f>標準日射取得量1!M10</f>
        <v>52.080000000000005</v>
      </c>
      <c r="L33" s="41">
        <f t="shared" si="10"/>
        <v>0</v>
      </c>
      <c r="M33" s="64"/>
      <c r="N33" s="157"/>
      <c r="O33" s="65"/>
    </row>
    <row r="34" spans="2:15">
      <c r="B34" s="1565"/>
      <c r="C34" s="870"/>
      <c r="D34" s="4" t="s">
        <v>68</v>
      </c>
      <c r="E34" s="4">
        <f t="shared" si="11"/>
        <v>0</v>
      </c>
      <c r="F34" s="36">
        <f>温度条件他根拠!C35</f>
        <v>0.876</v>
      </c>
      <c r="G34" s="321">
        <f>標準日射取得量1!G11</f>
        <v>39.06</v>
      </c>
      <c r="H34" s="48">
        <f t="shared" si="8"/>
        <v>0</v>
      </c>
      <c r="I34" s="324">
        <f>標準日射取得量1!J11</f>
        <v>136.71</v>
      </c>
      <c r="J34" s="48">
        <f t="shared" si="9"/>
        <v>0</v>
      </c>
      <c r="K34" s="324">
        <f>標準日射取得量1!M11</f>
        <v>390.6</v>
      </c>
      <c r="L34" s="41">
        <f t="shared" si="10"/>
        <v>0</v>
      </c>
      <c r="M34" s="64"/>
      <c r="N34" s="157"/>
      <c r="O34" s="65"/>
    </row>
    <row r="35" spans="2:15">
      <c r="B35" s="1565"/>
      <c r="C35" s="870"/>
      <c r="D35" s="4" t="s">
        <v>69</v>
      </c>
      <c r="E35" s="4">
        <f t="shared" si="11"/>
        <v>0</v>
      </c>
      <c r="F35" s="36">
        <f>温度条件他根拠!C35</f>
        <v>0.876</v>
      </c>
      <c r="G35" s="321">
        <f>標準日射取得量1!G12</f>
        <v>39.06</v>
      </c>
      <c r="H35" s="48">
        <f t="shared" si="8"/>
        <v>0</v>
      </c>
      <c r="I35" s="324">
        <f>標準日射取得量1!J12</f>
        <v>46.5</v>
      </c>
      <c r="J35" s="48">
        <f t="shared" si="9"/>
        <v>0</v>
      </c>
      <c r="K35" s="324">
        <f>標準日射取得量1!M12</f>
        <v>504.99</v>
      </c>
      <c r="L35" s="41">
        <f t="shared" si="10"/>
        <v>0</v>
      </c>
      <c r="M35" s="64"/>
      <c r="N35" s="157"/>
      <c r="O35" s="65"/>
    </row>
    <row r="36" spans="2:15" ht="14.25" thickBot="1">
      <c r="B36" s="1566"/>
      <c r="C36" s="1546"/>
      <c r="D36" s="31" t="s">
        <v>70</v>
      </c>
      <c r="E36" s="31">
        <f t="shared" si="11"/>
        <v>0</v>
      </c>
      <c r="F36" s="34">
        <f>温度条件他根拠!C35</f>
        <v>0.876</v>
      </c>
      <c r="G36" s="321">
        <f>標準日射取得量1!G13</f>
        <v>39.06</v>
      </c>
      <c r="H36" s="49">
        <f t="shared" si="8"/>
        <v>0</v>
      </c>
      <c r="I36" s="324">
        <f>標準日射取得量1!J13</f>
        <v>39.99</v>
      </c>
      <c r="J36" s="49">
        <f t="shared" si="9"/>
        <v>0</v>
      </c>
      <c r="K36" s="324">
        <f>標準日射取得量1!M13</f>
        <v>292.95</v>
      </c>
      <c r="L36" s="50">
        <f t="shared" si="10"/>
        <v>0</v>
      </c>
      <c r="M36" s="64"/>
      <c r="N36" s="157"/>
      <c r="O36" s="65"/>
    </row>
    <row r="37" spans="2:15" ht="18" customHeight="1" thickBot="1">
      <c r="B37" s="1548" t="s">
        <v>72</v>
      </c>
      <c r="C37" s="1549"/>
      <c r="D37" s="1549"/>
      <c r="E37" s="68"/>
      <c r="F37" s="69"/>
      <c r="G37" s="70"/>
      <c r="H37" s="71">
        <f>SUM(H29:H36)</f>
        <v>0</v>
      </c>
      <c r="I37" s="68"/>
      <c r="J37" s="71">
        <f>SUM(J29:J36)</f>
        <v>0</v>
      </c>
      <c r="K37" s="68"/>
      <c r="L37" s="71">
        <f>SUM(L29:L36)</f>
        <v>0</v>
      </c>
      <c r="M37" s="72"/>
      <c r="N37" s="158"/>
      <c r="O37" s="73"/>
    </row>
    <row r="38" spans="2:15" ht="18" customHeight="1" thickBot="1">
      <c r="B38" s="871" t="s">
        <v>1</v>
      </c>
      <c r="C38" s="872"/>
      <c r="D38" s="872"/>
      <c r="E38" s="1567"/>
      <c r="F38" s="74"/>
      <c r="G38" s="74"/>
      <c r="H38" s="59">
        <f>H37+H24</f>
        <v>0</v>
      </c>
      <c r="I38" s="74"/>
      <c r="J38" s="59">
        <f>J37+J24</f>
        <v>0</v>
      </c>
      <c r="K38" s="74"/>
      <c r="L38" s="59">
        <f>L37+L24</f>
        <v>0</v>
      </c>
      <c r="M38" s="74"/>
      <c r="N38" s="74"/>
      <c r="O38" s="60">
        <f>O24</f>
        <v>0</v>
      </c>
    </row>
    <row r="39" spans="2:15" ht="18" thickBot="1">
      <c r="B39" s="1543" t="s">
        <v>181</v>
      </c>
      <c r="C39" s="1543"/>
      <c r="D39" s="1543"/>
      <c r="E39" s="1543"/>
      <c r="F39" s="1543"/>
      <c r="G39" s="1543"/>
      <c r="H39" s="1543"/>
      <c r="I39" s="1543"/>
      <c r="J39" s="1543"/>
      <c r="K39" s="1543"/>
      <c r="L39" s="1543"/>
      <c r="M39" s="1543"/>
      <c r="N39" s="1543"/>
      <c r="O39" s="1543"/>
    </row>
    <row r="40" spans="2:15">
      <c r="B40" s="1544" t="s">
        <v>46</v>
      </c>
      <c r="C40" s="1545"/>
      <c r="D40" s="1545" t="s">
        <v>47</v>
      </c>
      <c r="E40" s="1545"/>
      <c r="F40" s="1547"/>
      <c r="G40" s="1548" t="s">
        <v>48</v>
      </c>
      <c r="H40" s="1549"/>
      <c r="I40" s="1549"/>
      <c r="J40" s="1549"/>
      <c r="K40" s="1549"/>
      <c r="L40" s="1550"/>
      <c r="M40" s="1544" t="s">
        <v>49</v>
      </c>
      <c r="N40" s="1551"/>
      <c r="O40" s="1552"/>
    </row>
    <row r="41" spans="2:15">
      <c r="B41" s="861"/>
      <c r="C41" s="870"/>
      <c r="D41" s="870" t="s">
        <v>50</v>
      </c>
      <c r="E41" s="870" t="s">
        <v>51</v>
      </c>
      <c r="F41" s="1553" t="s">
        <v>52</v>
      </c>
      <c r="G41" s="24">
        <v>9</v>
      </c>
      <c r="H41" s="25" t="s">
        <v>53</v>
      </c>
      <c r="I41" s="26">
        <v>12</v>
      </c>
      <c r="J41" s="25" t="s">
        <v>53</v>
      </c>
      <c r="K41" s="26">
        <v>15</v>
      </c>
      <c r="L41" s="27" t="s">
        <v>53</v>
      </c>
      <c r="M41" s="861" t="s">
        <v>54</v>
      </c>
      <c r="N41" s="1555" t="s">
        <v>184</v>
      </c>
      <c r="O41" s="1557" t="s">
        <v>49</v>
      </c>
    </row>
    <row r="42" spans="2:15">
      <c r="B42" s="861"/>
      <c r="C42" s="870"/>
      <c r="D42" s="870"/>
      <c r="E42" s="870"/>
      <c r="F42" s="1553"/>
      <c r="G42" s="28" t="s">
        <v>55</v>
      </c>
      <c r="H42" s="29" t="s">
        <v>48</v>
      </c>
      <c r="I42" s="29" t="s">
        <v>55</v>
      </c>
      <c r="J42" s="29" t="s">
        <v>48</v>
      </c>
      <c r="K42" s="29" t="s">
        <v>55</v>
      </c>
      <c r="L42" s="30" t="s">
        <v>48</v>
      </c>
      <c r="M42" s="861"/>
      <c r="N42" s="1556"/>
      <c r="O42" s="1557"/>
    </row>
    <row r="43" spans="2:15" ht="14.25" thickBot="1">
      <c r="B43" s="862"/>
      <c r="C43" s="1546"/>
      <c r="D43" s="1546"/>
      <c r="E43" s="31" t="s">
        <v>56</v>
      </c>
      <c r="F43" s="32" t="s">
        <v>1025</v>
      </c>
      <c r="G43" s="33" t="s">
        <v>811</v>
      </c>
      <c r="H43" s="31" t="s">
        <v>12</v>
      </c>
      <c r="I43" s="31" t="s">
        <v>811</v>
      </c>
      <c r="J43" s="31" t="s">
        <v>12</v>
      </c>
      <c r="K43" s="31" t="s">
        <v>811</v>
      </c>
      <c r="L43" s="34" t="s">
        <v>12</v>
      </c>
      <c r="M43" s="53" t="s">
        <v>811</v>
      </c>
      <c r="N43" s="153" t="s">
        <v>10</v>
      </c>
      <c r="O43" s="130" t="s">
        <v>12</v>
      </c>
    </row>
    <row r="44" spans="2:15" ht="14.25" thickBot="1">
      <c r="B44" s="1558" t="s">
        <v>60</v>
      </c>
      <c r="C44" s="37" t="s">
        <v>61</v>
      </c>
      <c r="D44" s="38" t="s">
        <v>10</v>
      </c>
      <c r="E44" s="38">
        <f t="shared" ref="E44:E60" si="12">E7</f>
        <v>0</v>
      </c>
      <c r="F44" s="224">
        <f>入力!D65</f>
        <v>3.91</v>
      </c>
      <c r="G44" s="310">
        <f>'外壁実効温度差（ETD)一覧表'!L59</f>
        <v>7.1</v>
      </c>
      <c r="H44" s="112">
        <f>G44*F44*E44</f>
        <v>0</v>
      </c>
      <c r="I44" s="329">
        <f>'外壁実効温度差（ETD)一覧表'!O59</f>
        <v>16.100000000000001</v>
      </c>
      <c r="J44" s="112">
        <f>I44*F44*E44</f>
        <v>0</v>
      </c>
      <c r="K44" s="118">
        <f>'外壁実効温度差（ETD)一覧表'!R59</f>
        <v>23.1</v>
      </c>
      <c r="L44" s="113">
        <f>K44*F44*E44</f>
        <v>0</v>
      </c>
      <c r="M44" s="131">
        <f>20--1.5</f>
        <v>21.5</v>
      </c>
      <c r="N44" s="159">
        <v>1</v>
      </c>
      <c r="O44" s="60">
        <f>M44*F44*E44*N44</f>
        <v>0</v>
      </c>
    </row>
    <row r="45" spans="2:15">
      <c r="B45" s="1559"/>
      <c r="C45" s="1544" t="s">
        <v>62</v>
      </c>
      <c r="D45" s="42" t="s">
        <v>63</v>
      </c>
      <c r="E45" s="42">
        <f t="shared" si="12"/>
        <v>0</v>
      </c>
      <c r="F45" s="225">
        <f>入力!D77</f>
        <v>1.18</v>
      </c>
      <c r="G45" s="326">
        <f>'外壁実効温度差（ETD)一覧表'!L60</f>
        <v>3.1</v>
      </c>
      <c r="H45" s="45">
        <f t="shared" ref="H45:H60" si="13">G45*F45*E45</f>
        <v>0</v>
      </c>
      <c r="I45" s="330">
        <f>'外壁実効温度差（ETD)一覧表'!O60</f>
        <v>4.0999999999999996</v>
      </c>
      <c r="J45" s="45">
        <f>I45*F45*E45</f>
        <v>0</v>
      </c>
      <c r="K45" s="332">
        <f>'外壁実効温度差（ETD)一覧表'!R60</f>
        <v>6.1</v>
      </c>
      <c r="L45" s="46">
        <f t="shared" ref="L45:L60" si="14">K45*F45*E45</f>
        <v>0</v>
      </c>
      <c r="M45" s="44">
        <f t="shared" ref="M45:M60" si="15">20--1.5</f>
        <v>21.5</v>
      </c>
      <c r="N45" s="154">
        <v>1.1000000000000001</v>
      </c>
      <c r="O45" s="46">
        <f>M45*F45*E45*N45</f>
        <v>0</v>
      </c>
    </row>
    <row r="46" spans="2:15">
      <c r="B46" s="1559"/>
      <c r="C46" s="861"/>
      <c r="D46" s="4" t="s">
        <v>64</v>
      </c>
      <c r="E46" s="4">
        <f t="shared" si="12"/>
        <v>0</v>
      </c>
      <c r="F46" s="226">
        <f>入力!D78</f>
        <v>2</v>
      </c>
      <c r="G46" s="327">
        <f>'外壁実効温度差（ETD)一覧表'!L61</f>
        <v>7.1</v>
      </c>
      <c r="H46" s="48">
        <f t="shared" si="13"/>
        <v>0</v>
      </c>
      <c r="I46" s="319">
        <f>'外壁実効温度差（ETD)一覧表'!O61</f>
        <v>9.1</v>
      </c>
      <c r="J46" s="48">
        <f>I46*F46*E46</f>
        <v>0</v>
      </c>
      <c r="K46" s="333">
        <f>'外壁実効温度差（ETD)一覧表'!R61</f>
        <v>9.1</v>
      </c>
      <c r="L46" s="41">
        <f t="shared" si="14"/>
        <v>0</v>
      </c>
      <c r="M46" s="35">
        <f t="shared" si="15"/>
        <v>21.5</v>
      </c>
      <c r="N46" s="84">
        <v>1.05</v>
      </c>
      <c r="O46" s="41">
        <f>M46*F46*E46*N46</f>
        <v>0</v>
      </c>
    </row>
    <row r="47" spans="2:15">
      <c r="B47" s="1559"/>
      <c r="C47" s="861"/>
      <c r="D47" s="4" t="s">
        <v>65</v>
      </c>
      <c r="E47" s="4">
        <f t="shared" si="12"/>
        <v>0</v>
      </c>
      <c r="F47" s="226">
        <f>入力!D79</f>
        <v>1.18</v>
      </c>
      <c r="G47" s="327">
        <f>'外壁実効温度差（ETD)一覧表'!L62</f>
        <v>8.1</v>
      </c>
      <c r="H47" s="48">
        <f t="shared" si="13"/>
        <v>0</v>
      </c>
      <c r="I47" s="319">
        <f>'外壁実効温度差（ETD)一覧表'!O62</f>
        <v>12.1</v>
      </c>
      <c r="J47" s="48">
        <f t="shared" ref="J47:J60" si="16">I47*F47*E47</f>
        <v>0</v>
      </c>
      <c r="K47" s="333">
        <f>'外壁実効温度差（ETD)一覧表'!R62</f>
        <v>11.1</v>
      </c>
      <c r="L47" s="41">
        <f t="shared" si="14"/>
        <v>0</v>
      </c>
      <c r="M47" s="35">
        <f t="shared" si="15"/>
        <v>21.5</v>
      </c>
      <c r="N47" s="84">
        <v>1.05</v>
      </c>
      <c r="O47" s="41">
        <f t="shared" ref="O47:O51" si="17">M47*F47*E47*N47</f>
        <v>0</v>
      </c>
    </row>
    <row r="48" spans="2:15">
      <c r="B48" s="1559"/>
      <c r="C48" s="861"/>
      <c r="D48" s="4" t="s">
        <v>66</v>
      </c>
      <c r="E48" s="4">
        <f t="shared" si="12"/>
        <v>0</v>
      </c>
      <c r="F48" s="226">
        <f>入力!D80</f>
        <v>1.18</v>
      </c>
      <c r="G48" s="327">
        <f>'外壁実効温度差（ETD)一覧表'!L63</f>
        <v>6.1</v>
      </c>
      <c r="H48" s="48">
        <f t="shared" si="13"/>
        <v>0</v>
      </c>
      <c r="I48" s="319">
        <f>'外壁実効温度差（ETD)一覧表'!O63</f>
        <v>11.1</v>
      </c>
      <c r="J48" s="48">
        <f t="shared" si="16"/>
        <v>0</v>
      </c>
      <c r="K48" s="333">
        <f>'外壁実効温度差（ETD)一覧表'!R63</f>
        <v>11.1</v>
      </c>
      <c r="L48" s="41">
        <f t="shared" si="14"/>
        <v>0</v>
      </c>
      <c r="M48" s="35">
        <f t="shared" si="15"/>
        <v>21.5</v>
      </c>
      <c r="N48" s="84">
        <v>1.05</v>
      </c>
      <c r="O48" s="41">
        <f t="shared" si="17"/>
        <v>0</v>
      </c>
    </row>
    <row r="49" spans="2:15">
      <c r="B49" s="1559"/>
      <c r="C49" s="861"/>
      <c r="D49" s="4" t="s">
        <v>67</v>
      </c>
      <c r="E49" s="4">
        <f t="shared" si="12"/>
        <v>0</v>
      </c>
      <c r="F49" s="226">
        <f>入力!D81</f>
        <v>1.18</v>
      </c>
      <c r="G49" s="327">
        <f>'外壁実効温度差（ETD)一覧表'!L64</f>
        <v>2.1</v>
      </c>
      <c r="H49" s="48">
        <f t="shared" si="13"/>
        <v>0</v>
      </c>
      <c r="I49" s="319">
        <f>'外壁実効温度差（ETD)一覧表'!O64</f>
        <v>5.0999999999999996</v>
      </c>
      <c r="J49" s="48">
        <f t="shared" si="16"/>
        <v>0</v>
      </c>
      <c r="K49" s="333">
        <f>'外壁実効温度差（ETD)一覧表'!R64</f>
        <v>9.1</v>
      </c>
      <c r="L49" s="41">
        <f t="shared" si="14"/>
        <v>0</v>
      </c>
      <c r="M49" s="35">
        <f t="shared" si="15"/>
        <v>21.5</v>
      </c>
      <c r="N49" s="84">
        <v>1</v>
      </c>
      <c r="O49" s="41">
        <f t="shared" si="17"/>
        <v>0</v>
      </c>
    </row>
    <row r="50" spans="2:15">
      <c r="B50" s="1559"/>
      <c r="C50" s="861"/>
      <c r="D50" s="4" t="s">
        <v>68</v>
      </c>
      <c r="E50" s="4">
        <f t="shared" si="12"/>
        <v>0</v>
      </c>
      <c r="F50" s="226">
        <f>入力!D82</f>
        <v>1.18</v>
      </c>
      <c r="G50" s="327">
        <f>'外壁実効温度差（ETD)一覧表'!L65</f>
        <v>2.1</v>
      </c>
      <c r="H50" s="48">
        <f t="shared" si="13"/>
        <v>0</v>
      </c>
      <c r="I50" s="319">
        <f>'外壁実効温度差（ETD)一覧表'!O65</f>
        <v>4.0999999999999996</v>
      </c>
      <c r="J50" s="48">
        <f t="shared" si="16"/>
        <v>0</v>
      </c>
      <c r="K50" s="333">
        <f>'外壁実効温度差（ETD)一覧表'!R65</f>
        <v>9.1</v>
      </c>
      <c r="L50" s="41">
        <f t="shared" si="14"/>
        <v>0</v>
      </c>
      <c r="M50" s="35">
        <f t="shared" si="15"/>
        <v>21.5</v>
      </c>
      <c r="N50" s="84">
        <v>1.05</v>
      </c>
      <c r="O50" s="41">
        <f t="shared" si="17"/>
        <v>0</v>
      </c>
    </row>
    <row r="51" spans="2:15">
      <c r="B51" s="1559"/>
      <c r="C51" s="861"/>
      <c r="D51" s="4" t="s">
        <v>69</v>
      </c>
      <c r="E51" s="4">
        <f t="shared" si="12"/>
        <v>0</v>
      </c>
      <c r="F51" s="226">
        <f>入力!D83</f>
        <v>1.18</v>
      </c>
      <c r="G51" s="327">
        <f>'外壁実効温度差（ETD)一覧表'!L66</f>
        <v>2.1</v>
      </c>
      <c r="H51" s="48">
        <f t="shared" si="13"/>
        <v>0</v>
      </c>
      <c r="I51" s="319">
        <f>'外壁実効温度差（ETD)一覧表'!O66</f>
        <v>4.0999999999999996</v>
      </c>
      <c r="J51" s="48">
        <f t="shared" si="16"/>
        <v>0</v>
      </c>
      <c r="K51" s="333">
        <f>'外壁実効温度差（ETD)一覧表'!R66</f>
        <v>8.1</v>
      </c>
      <c r="L51" s="41">
        <f t="shared" si="14"/>
        <v>0</v>
      </c>
      <c r="M51" s="35">
        <f t="shared" si="15"/>
        <v>21.5</v>
      </c>
      <c r="N51" s="84">
        <v>1.1000000000000001</v>
      </c>
      <c r="O51" s="41">
        <f t="shared" si="17"/>
        <v>0</v>
      </c>
    </row>
    <row r="52" spans="2:15" ht="14.25" thickBot="1">
      <c r="B52" s="1559"/>
      <c r="C52" s="862"/>
      <c r="D52" s="31" t="s">
        <v>70</v>
      </c>
      <c r="E52" s="31">
        <f t="shared" si="12"/>
        <v>0</v>
      </c>
      <c r="F52" s="227">
        <f>入力!D84</f>
        <v>1.18</v>
      </c>
      <c r="G52" s="328">
        <f>'外壁実効温度差（ETD)一覧表'!L67</f>
        <v>2.1</v>
      </c>
      <c r="H52" s="49">
        <f t="shared" si="13"/>
        <v>0</v>
      </c>
      <c r="I52" s="331">
        <f>'外壁実効温度差（ETD)一覧表'!O67</f>
        <v>4.0999999999999996</v>
      </c>
      <c r="J52" s="49">
        <f t="shared" si="16"/>
        <v>0</v>
      </c>
      <c r="K52" s="334">
        <f>'外壁実効温度差（ETD)一覧表'!R67</f>
        <v>6.1</v>
      </c>
      <c r="L52" s="50">
        <f t="shared" si="14"/>
        <v>0</v>
      </c>
      <c r="M52" s="33">
        <f t="shared" si="15"/>
        <v>21.5</v>
      </c>
      <c r="N52" s="155">
        <v>1.1000000000000001</v>
      </c>
      <c r="O52" s="50">
        <f>M52*F52*E52*N52</f>
        <v>0</v>
      </c>
    </row>
    <row r="53" spans="2:15">
      <c r="B53" s="1559"/>
      <c r="C53" s="1544" t="s">
        <v>71</v>
      </c>
      <c r="D53" s="42" t="s">
        <v>63</v>
      </c>
      <c r="E53" s="42">
        <f t="shared" si="12"/>
        <v>0</v>
      </c>
      <c r="F53" s="176">
        <f>入力!G113</f>
        <v>5.95</v>
      </c>
      <c r="G53" s="326">
        <f t="shared" ref="G53:I60" si="18">G16</f>
        <v>3.8999999999999986</v>
      </c>
      <c r="H53" s="45">
        <f t="shared" si="13"/>
        <v>0</v>
      </c>
      <c r="I53" s="330">
        <f t="shared" si="18"/>
        <v>3.8999999999999986</v>
      </c>
      <c r="J53" s="45">
        <f t="shared" si="16"/>
        <v>0</v>
      </c>
      <c r="K53" s="332">
        <f t="shared" ref="K53:K60" si="19">K16</f>
        <v>3.8999999999999986</v>
      </c>
      <c r="L53" s="46">
        <f t="shared" si="14"/>
        <v>0</v>
      </c>
      <c r="M53" s="77">
        <f t="shared" si="15"/>
        <v>21.5</v>
      </c>
      <c r="N53" s="154">
        <v>1.1000000000000001</v>
      </c>
      <c r="O53" s="46">
        <f>M53*F53*E53*N53</f>
        <v>0</v>
      </c>
    </row>
    <row r="54" spans="2:15">
      <c r="B54" s="1559"/>
      <c r="C54" s="861"/>
      <c r="D54" s="4" t="s">
        <v>64</v>
      </c>
      <c r="E54" s="4">
        <f t="shared" si="12"/>
        <v>0</v>
      </c>
      <c r="F54" s="36">
        <f>入力!G114</f>
        <v>5.95</v>
      </c>
      <c r="G54" s="327">
        <f t="shared" si="18"/>
        <v>3.8999999999999986</v>
      </c>
      <c r="H54" s="48">
        <f t="shared" si="13"/>
        <v>0</v>
      </c>
      <c r="I54" s="319">
        <f t="shared" si="18"/>
        <v>3.8999999999999986</v>
      </c>
      <c r="J54" s="48">
        <f t="shared" si="16"/>
        <v>0</v>
      </c>
      <c r="K54" s="333">
        <f t="shared" si="19"/>
        <v>3.8999999999999986</v>
      </c>
      <c r="L54" s="41">
        <f t="shared" si="14"/>
        <v>0</v>
      </c>
      <c r="M54" s="66">
        <f t="shared" si="15"/>
        <v>21.5</v>
      </c>
      <c r="N54" s="84">
        <v>1.05</v>
      </c>
      <c r="O54" s="41">
        <f>M54*F54*E54*N54</f>
        <v>0</v>
      </c>
    </row>
    <row r="55" spans="2:15">
      <c r="B55" s="1559"/>
      <c r="C55" s="861"/>
      <c r="D55" s="4" t="s">
        <v>65</v>
      </c>
      <c r="E55" s="4">
        <f t="shared" si="12"/>
        <v>0</v>
      </c>
      <c r="F55" s="36">
        <f>入力!G115</f>
        <v>5.95</v>
      </c>
      <c r="G55" s="327">
        <f t="shared" si="18"/>
        <v>3.8999999999999986</v>
      </c>
      <c r="H55" s="48">
        <f t="shared" si="13"/>
        <v>0</v>
      </c>
      <c r="I55" s="319">
        <f t="shared" si="18"/>
        <v>3.8999999999999986</v>
      </c>
      <c r="J55" s="48">
        <f t="shared" si="16"/>
        <v>0</v>
      </c>
      <c r="K55" s="333">
        <f t="shared" si="19"/>
        <v>3.8999999999999986</v>
      </c>
      <c r="L55" s="41">
        <f t="shared" si="14"/>
        <v>0</v>
      </c>
      <c r="M55" s="66">
        <f t="shared" si="15"/>
        <v>21.5</v>
      </c>
      <c r="N55" s="84">
        <v>1.05</v>
      </c>
      <c r="O55" s="41">
        <f t="shared" ref="O55:O59" si="20">M55*F55*E55*N55</f>
        <v>0</v>
      </c>
    </row>
    <row r="56" spans="2:15">
      <c r="B56" s="1559"/>
      <c r="C56" s="861"/>
      <c r="D56" s="4" t="s">
        <v>66</v>
      </c>
      <c r="E56" s="4">
        <f t="shared" si="12"/>
        <v>0</v>
      </c>
      <c r="F56" s="36">
        <f>入力!G116</f>
        <v>5.95</v>
      </c>
      <c r="G56" s="327">
        <f t="shared" si="18"/>
        <v>3.8999999999999986</v>
      </c>
      <c r="H56" s="48">
        <f t="shared" si="13"/>
        <v>0</v>
      </c>
      <c r="I56" s="319">
        <f t="shared" si="18"/>
        <v>3.8999999999999986</v>
      </c>
      <c r="J56" s="48">
        <f t="shared" si="16"/>
        <v>0</v>
      </c>
      <c r="K56" s="333">
        <f t="shared" si="19"/>
        <v>3.8999999999999986</v>
      </c>
      <c r="L56" s="41">
        <f t="shared" si="14"/>
        <v>0</v>
      </c>
      <c r="M56" s="66">
        <f t="shared" si="15"/>
        <v>21.5</v>
      </c>
      <c r="N56" s="84">
        <v>1.05</v>
      </c>
      <c r="O56" s="41">
        <f t="shared" si="20"/>
        <v>0</v>
      </c>
    </row>
    <row r="57" spans="2:15">
      <c r="B57" s="1559"/>
      <c r="C57" s="861"/>
      <c r="D57" s="4" t="s">
        <v>67</v>
      </c>
      <c r="E57" s="4">
        <f t="shared" si="12"/>
        <v>0</v>
      </c>
      <c r="F57" s="36">
        <f>入力!G117</f>
        <v>5.95</v>
      </c>
      <c r="G57" s="327">
        <f t="shared" si="18"/>
        <v>3.8999999999999986</v>
      </c>
      <c r="H57" s="48">
        <f t="shared" si="13"/>
        <v>0</v>
      </c>
      <c r="I57" s="319">
        <f t="shared" si="18"/>
        <v>3.8999999999999986</v>
      </c>
      <c r="J57" s="48">
        <f t="shared" si="16"/>
        <v>0</v>
      </c>
      <c r="K57" s="333">
        <f t="shared" si="19"/>
        <v>3.8999999999999986</v>
      </c>
      <c r="L57" s="41">
        <f t="shared" si="14"/>
        <v>0</v>
      </c>
      <c r="M57" s="66">
        <f t="shared" si="15"/>
        <v>21.5</v>
      </c>
      <c r="N57" s="84">
        <v>1</v>
      </c>
      <c r="O57" s="41">
        <f t="shared" si="20"/>
        <v>0</v>
      </c>
    </row>
    <row r="58" spans="2:15">
      <c r="B58" s="1559"/>
      <c r="C58" s="861"/>
      <c r="D58" s="4" t="s">
        <v>68</v>
      </c>
      <c r="E58" s="4">
        <f t="shared" si="12"/>
        <v>0</v>
      </c>
      <c r="F58" s="36">
        <f>入力!G118</f>
        <v>5.95</v>
      </c>
      <c r="G58" s="327">
        <f t="shared" si="18"/>
        <v>3.8999999999999986</v>
      </c>
      <c r="H58" s="48">
        <f t="shared" si="13"/>
        <v>0</v>
      </c>
      <c r="I58" s="319">
        <f t="shared" si="18"/>
        <v>3.8999999999999986</v>
      </c>
      <c r="J58" s="48">
        <f t="shared" si="16"/>
        <v>0</v>
      </c>
      <c r="K58" s="333">
        <f t="shared" si="19"/>
        <v>3.8999999999999986</v>
      </c>
      <c r="L58" s="41">
        <f t="shared" si="14"/>
        <v>0</v>
      </c>
      <c r="M58" s="66">
        <f t="shared" si="15"/>
        <v>21.5</v>
      </c>
      <c r="N58" s="84">
        <v>1.05</v>
      </c>
      <c r="O58" s="41">
        <f t="shared" si="20"/>
        <v>0</v>
      </c>
    </row>
    <row r="59" spans="2:15">
      <c r="B59" s="1559"/>
      <c r="C59" s="861"/>
      <c r="D59" s="4" t="s">
        <v>69</v>
      </c>
      <c r="E59" s="4">
        <f t="shared" si="12"/>
        <v>0</v>
      </c>
      <c r="F59" s="36">
        <f>入力!G119</f>
        <v>5.95</v>
      </c>
      <c r="G59" s="327">
        <f t="shared" si="18"/>
        <v>3.8999999999999986</v>
      </c>
      <c r="H59" s="48">
        <f t="shared" si="13"/>
        <v>0</v>
      </c>
      <c r="I59" s="319">
        <f t="shared" si="18"/>
        <v>3.8999999999999986</v>
      </c>
      <c r="J59" s="48">
        <f t="shared" si="16"/>
        <v>0</v>
      </c>
      <c r="K59" s="333">
        <f t="shared" si="19"/>
        <v>3.8999999999999986</v>
      </c>
      <c r="L59" s="41">
        <f t="shared" si="14"/>
        <v>0</v>
      </c>
      <c r="M59" s="66">
        <f t="shared" si="15"/>
        <v>21.5</v>
      </c>
      <c r="N59" s="84">
        <v>1.1000000000000001</v>
      </c>
      <c r="O59" s="41">
        <f t="shared" si="20"/>
        <v>0</v>
      </c>
    </row>
    <row r="60" spans="2:15" ht="14.25" thickBot="1">
      <c r="B60" s="1560"/>
      <c r="C60" s="862"/>
      <c r="D60" s="31" t="s">
        <v>70</v>
      </c>
      <c r="E60" s="31">
        <f t="shared" si="12"/>
        <v>0</v>
      </c>
      <c r="F60" s="34">
        <f>入力!G120</f>
        <v>5.95</v>
      </c>
      <c r="G60" s="328">
        <f t="shared" si="18"/>
        <v>3.8999999999999986</v>
      </c>
      <c r="H60" s="49">
        <f t="shared" si="13"/>
        <v>0</v>
      </c>
      <c r="I60" s="331">
        <f t="shared" si="18"/>
        <v>3.8999999999999986</v>
      </c>
      <c r="J60" s="49">
        <f t="shared" si="16"/>
        <v>0</v>
      </c>
      <c r="K60" s="80">
        <f t="shared" si="19"/>
        <v>3.8999999999999986</v>
      </c>
      <c r="L60" s="50">
        <f t="shared" si="14"/>
        <v>0</v>
      </c>
      <c r="M60" s="119">
        <f t="shared" si="15"/>
        <v>21.5</v>
      </c>
      <c r="N60" s="155">
        <v>1.1000000000000001</v>
      </c>
      <c r="O60" s="50">
        <f>M60*F60*E60*N60</f>
        <v>0</v>
      </c>
    </row>
    <row r="61" spans="2:15" ht="14.25" thickBot="1">
      <c r="B61" s="1562" t="s">
        <v>72</v>
      </c>
      <c r="C61" s="1563"/>
      <c r="D61" s="1563"/>
      <c r="E61" s="56"/>
      <c r="F61" s="57"/>
      <c r="G61" s="127"/>
      <c r="H61" s="39">
        <f>SUM(H44:H60)</f>
        <v>0</v>
      </c>
      <c r="I61" s="128"/>
      <c r="J61" s="39">
        <f>SUM(J44:J60)</f>
        <v>0</v>
      </c>
      <c r="K61" s="129"/>
      <c r="L61" s="40">
        <f>SUM(L44:L60)</f>
        <v>0</v>
      </c>
      <c r="M61" s="58"/>
      <c r="N61" s="74"/>
      <c r="O61" s="60">
        <f>SUM(O44:O60)</f>
        <v>0</v>
      </c>
    </row>
    <row r="62" spans="2:15">
      <c r="B62" s="1544" t="s">
        <v>46</v>
      </c>
      <c r="C62" s="1545"/>
      <c r="D62" s="1545" t="s">
        <v>47</v>
      </c>
      <c r="E62" s="1545"/>
      <c r="F62" s="1552"/>
      <c r="G62" s="1564" t="s">
        <v>48</v>
      </c>
      <c r="H62" s="1545"/>
      <c r="I62" s="1545"/>
      <c r="J62" s="1545"/>
      <c r="K62" s="1545"/>
      <c r="L62" s="1552"/>
      <c r="M62" s="61"/>
      <c r="N62" s="156"/>
      <c r="O62" s="62"/>
    </row>
    <row r="63" spans="2:15">
      <c r="B63" s="861"/>
      <c r="C63" s="870"/>
      <c r="D63" s="870" t="s">
        <v>50</v>
      </c>
      <c r="E63" s="870" t="s">
        <v>51</v>
      </c>
      <c r="F63" s="1557" t="s">
        <v>73</v>
      </c>
      <c r="G63" s="24">
        <v>9</v>
      </c>
      <c r="H63" s="25" t="s">
        <v>53</v>
      </c>
      <c r="I63" s="26">
        <v>12</v>
      </c>
      <c r="J63" s="25" t="s">
        <v>53</v>
      </c>
      <c r="K63" s="26">
        <v>15</v>
      </c>
      <c r="L63" s="27" t="s">
        <v>53</v>
      </c>
      <c r="M63" s="64"/>
      <c r="N63" s="157"/>
      <c r="O63" s="65"/>
    </row>
    <row r="64" spans="2:15">
      <c r="B64" s="861"/>
      <c r="C64" s="870"/>
      <c r="D64" s="870"/>
      <c r="E64" s="870"/>
      <c r="F64" s="1557"/>
      <c r="G64" s="66" t="s">
        <v>74</v>
      </c>
      <c r="H64" s="4" t="s">
        <v>48</v>
      </c>
      <c r="I64" s="4" t="s">
        <v>74</v>
      </c>
      <c r="J64" s="4" t="s">
        <v>48</v>
      </c>
      <c r="K64" s="4" t="s">
        <v>74</v>
      </c>
      <c r="L64" s="36" t="s">
        <v>48</v>
      </c>
      <c r="M64" s="64"/>
      <c r="N64" s="157"/>
      <c r="O64" s="65"/>
    </row>
    <row r="65" spans="2:15" ht="14.25" thickBot="1">
      <c r="B65" s="862"/>
      <c r="C65" s="1546"/>
      <c r="D65" s="1546"/>
      <c r="E65" s="31" t="s">
        <v>56</v>
      </c>
      <c r="F65" s="34" t="s">
        <v>10</v>
      </c>
      <c r="G65" s="67" t="s">
        <v>75</v>
      </c>
      <c r="H65" s="31" t="s">
        <v>12</v>
      </c>
      <c r="I65" s="31" t="s">
        <v>75</v>
      </c>
      <c r="J65" s="31" t="s">
        <v>12</v>
      </c>
      <c r="K65" s="31" t="s">
        <v>75</v>
      </c>
      <c r="L65" s="34" t="s">
        <v>12</v>
      </c>
      <c r="M65" s="64"/>
      <c r="N65" s="157"/>
      <c r="O65" s="65"/>
    </row>
    <row r="66" spans="2:15">
      <c r="B66" s="1565" t="s">
        <v>76</v>
      </c>
      <c r="C66" s="1556" t="s">
        <v>71</v>
      </c>
      <c r="D66" s="29" t="s">
        <v>63</v>
      </c>
      <c r="E66" s="29">
        <f>E53</f>
        <v>0</v>
      </c>
      <c r="F66" s="30">
        <f>入力!H113</f>
        <v>0.876</v>
      </c>
      <c r="G66" s="321">
        <f>G29</f>
        <v>39.06</v>
      </c>
      <c r="H66" s="78">
        <f>G66*F66*E66</f>
        <v>0</v>
      </c>
      <c r="I66" s="324">
        <f t="shared" ref="I66:I73" si="21">I29</f>
        <v>39.99</v>
      </c>
      <c r="J66" s="78">
        <f>I66*F66*E66</f>
        <v>0</v>
      </c>
      <c r="K66" s="324">
        <f t="shared" ref="K66:K73" si="22">K29</f>
        <v>37.200000000000003</v>
      </c>
      <c r="L66" s="79">
        <f>K66*F66*E66</f>
        <v>0</v>
      </c>
      <c r="M66" s="64"/>
      <c r="N66" s="157"/>
      <c r="O66" s="65"/>
    </row>
    <row r="67" spans="2:15">
      <c r="B67" s="1565"/>
      <c r="C67" s="870"/>
      <c r="D67" s="4" t="s">
        <v>64</v>
      </c>
      <c r="E67" s="4">
        <f t="shared" ref="E67:E73" si="23">E54</f>
        <v>0</v>
      </c>
      <c r="F67" s="36">
        <f>入力!H114</f>
        <v>0.876</v>
      </c>
      <c r="G67" s="322">
        <f t="shared" ref="G67:G73" si="24">G30</f>
        <v>227.85000000000002</v>
      </c>
      <c r="H67" s="48">
        <f t="shared" ref="H67:H68" si="25">G67*F67*E67</f>
        <v>0</v>
      </c>
      <c r="I67" s="325">
        <f t="shared" si="21"/>
        <v>39.99</v>
      </c>
      <c r="J67" s="48">
        <f t="shared" ref="J67:J73" si="26">I67*F67*E67</f>
        <v>0</v>
      </c>
      <c r="K67" s="325">
        <f t="shared" si="22"/>
        <v>37.200000000000003</v>
      </c>
      <c r="L67" s="41">
        <f t="shared" ref="L67:L73" si="27">K67*F67*E67</f>
        <v>0</v>
      </c>
      <c r="M67" s="64"/>
      <c r="N67" s="157"/>
      <c r="O67" s="65"/>
    </row>
    <row r="68" spans="2:15">
      <c r="B68" s="1565"/>
      <c r="C68" s="870"/>
      <c r="D68" s="4" t="s">
        <v>65</v>
      </c>
      <c r="E68" s="4">
        <f t="shared" si="23"/>
        <v>0</v>
      </c>
      <c r="F68" s="36">
        <f>入力!H115</f>
        <v>0.876</v>
      </c>
      <c r="G68" s="322">
        <f t="shared" si="24"/>
        <v>456.63000000000005</v>
      </c>
      <c r="H68" s="48">
        <f t="shared" si="25"/>
        <v>0</v>
      </c>
      <c r="I68" s="325">
        <f t="shared" si="21"/>
        <v>39.99</v>
      </c>
      <c r="J68" s="48">
        <f t="shared" si="26"/>
        <v>0</v>
      </c>
      <c r="K68" s="325">
        <f t="shared" si="22"/>
        <v>37.200000000000003</v>
      </c>
      <c r="L68" s="41">
        <f t="shared" si="27"/>
        <v>0</v>
      </c>
      <c r="M68" s="64"/>
      <c r="N68" s="157"/>
      <c r="O68" s="65"/>
    </row>
    <row r="69" spans="2:15">
      <c r="B69" s="1565"/>
      <c r="C69" s="870"/>
      <c r="D69" s="4" t="s">
        <v>66</v>
      </c>
      <c r="E69" s="4">
        <f t="shared" si="23"/>
        <v>0</v>
      </c>
      <c r="F69" s="36">
        <f>入力!H116</f>
        <v>0.876</v>
      </c>
      <c r="G69" s="322">
        <f t="shared" si="24"/>
        <v>380.37</v>
      </c>
      <c r="H69" s="48">
        <f>G69*F69*E69</f>
        <v>0</v>
      </c>
      <c r="I69" s="325">
        <f t="shared" si="21"/>
        <v>86.490000000000009</v>
      </c>
      <c r="J69" s="48">
        <f t="shared" si="26"/>
        <v>0</v>
      </c>
      <c r="K69" s="325">
        <f t="shared" si="22"/>
        <v>37.200000000000003</v>
      </c>
      <c r="L69" s="41">
        <f t="shared" si="27"/>
        <v>0</v>
      </c>
      <c r="M69" s="64"/>
      <c r="N69" s="157"/>
      <c r="O69" s="65"/>
    </row>
    <row r="70" spans="2:15">
      <c r="B70" s="1565"/>
      <c r="C70" s="870"/>
      <c r="D70" s="4" t="s">
        <v>67</v>
      </c>
      <c r="E70" s="4">
        <f t="shared" si="23"/>
        <v>0</v>
      </c>
      <c r="F70" s="36">
        <f>入力!H117</f>
        <v>0.876</v>
      </c>
      <c r="G70" s="322">
        <f t="shared" si="24"/>
        <v>71.61</v>
      </c>
      <c r="H70" s="48">
        <f t="shared" ref="H70:H73" si="28">G70*F70*E70</f>
        <v>0</v>
      </c>
      <c r="I70" s="325">
        <f t="shared" si="21"/>
        <v>167.4</v>
      </c>
      <c r="J70" s="48">
        <f t="shared" si="26"/>
        <v>0</v>
      </c>
      <c r="K70" s="325">
        <f t="shared" si="22"/>
        <v>52.080000000000005</v>
      </c>
      <c r="L70" s="41">
        <f t="shared" si="27"/>
        <v>0</v>
      </c>
      <c r="M70" s="64"/>
      <c r="N70" s="157"/>
      <c r="O70" s="65"/>
    </row>
    <row r="71" spans="2:15">
      <c r="B71" s="1565"/>
      <c r="C71" s="870"/>
      <c r="D71" s="4" t="s">
        <v>68</v>
      </c>
      <c r="E71" s="4">
        <f t="shared" si="23"/>
        <v>0</v>
      </c>
      <c r="F71" s="36">
        <f>入力!H118</f>
        <v>0.876</v>
      </c>
      <c r="G71" s="322">
        <f t="shared" si="24"/>
        <v>39.06</v>
      </c>
      <c r="H71" s="48">
        <f t="shared" si="28"/>
        <v>0</v>
      </c>
      <c r="I71" s="325">
        <f t="shared" si="21"/>
        <v>136.71</v>
      </c>
      <c r="J71" s="48">
        <f t="shared" si="26"/>
        <v>0</v>
      </c>
      <c r="K71" s="325">
        <f t="shared" si="22"/>
        <v>390.6</v>
      </c>
      <c r="L71" s="41">
        <f t="shared" si="27"/>
        <v>0</v>
      </c>
      <c r="M71" s="64"/>
      <c r="N71" s="157"/>
      <c r="O71" s="65"/>
    </row>
    <row r="72" spans="2:15">
      <c r="B72" s="1565"/>
      <c r="C72" s="870"/>
      <c r="D72" s="4" t="s">
        <v>69</v>
      </c>
      <c r="E72" s="4">
        <f t="shared" si="23"/>
        <v>0</v>
      </c>
      <c r="F72" s="36">
        <f>入力!H119</f>
        <v>0.876</v>
      </c>
      <c r="G72" s="322">
        <f t="shared" si="24"/>
        <v>39.06</v>
      </c>
      <c r="H72" s="48">
        <f t="shared" si="28"/>
        <v>0</v>
      </c>
      <c r="I72" s="325">
        <f t="shared" si="21"/>
        <v>46.5</v>
      </c>
      <c r="J72" s="48">
        <f t="shared" si="26"/>
        <v>0</v>
      </c>
      <c r="K72" s="325">
        <f t="shared" si="22"/>
        <v>504.99</v>
      </c>
      <c r="L72" s="41">
        <f t="shared" si="27"/>
        <v>0</v>
      </c>
      <c r="M72" s="64"/>
      <c r="N72" s="157"/>
      <c r="O72" s="65"/>
    </row>
    <row r="73" spans="2:15" ht="14.25" thickBot="1">
      <c r="B73" s="1566"/>
      <c r="C73" s="1546"/>
      <c r="D73" s="31" t="s">
        <v>70</v>
      </c>
      <c r="E73" s="31">
        <f t="shared" si="23"/>
        <v>0</v>
      </c>
      <c r="F73" s="34">
        <f>入力!H120</f>
        <v>0.876</v>
      </c>
      <c r="G73" s="323">
        <f t="shared" si="24"/>
        <v>39.06</v>
      </c>
      <c r="H73" s="49">
        <f t="shared" si="28"/>
        <v>0</v>
      </c>
      <c r="I73" s="323">
        <f t="shared" si="21"/>
        <v>39.99</v>
      </c>
      <c r="J73" s="49">
        <f t="shared" si="26"/>
        <v>0</v>
      </c>
      <c r="K73" s="320">
        <f t="shared" si="22"/>
        <v>292.95</v>
      </c>
      <c r="L73" s="50">
        <f t="shared" si="27"/>
        <v>0</v>
      </c>
      <c r="M73" s="64"/>
      <c r="N73" s="157"/>
      <c r="O73" s="65"/>
    </row>
    <row r="74" spans="2:15" ht="14.25" thickBot="1">
      <c r="B74" s="1548" t="s">
        <v>72</v>
      </c>
      <c r="C74" s="1549"/>
      <c r="D74" s="1549"/>
      <c r="E74" s="68"/>
      <c r="F74" s="69"/>
      <c r="G74" s="70"/>
      <c r="H74" s="71">
        <f>SUM(H66:H73)</f>
        <v>0</v>
      </c>
      <c r="I74" s="68"/>
      <c r="J74" s="71">
        <f>SUM(J66:J73)</f>
        <v>0</v>
      </c>
      <c r="K74" s="68"/>
      <c r="L74" s="71">
        <f>SUM(L66:L73)</f>
        <v>0</v>
      </c>
      <c r="M74" s="72"/>
      <c r="N74" s="158"/>
      <c r="O74" s="73"/>
    </row>
    <row r="75" spans="2:15" ht="14.25" thickBot="1">
      <c r="B75" s="871" t="s">
        <v>1</v>
      </c>
      <c r="C75" s="872"/>
      <c r="D75" s="872"/>
      <c r="E75" s="1567"/>
      <c r="F75" s="74"/>
      <c r="G75" s="74"/>
      <c r="H75" s="59">
        <f>H74+H61</f>
        <v>0</v>
      </c>
      <c r="I75" s="74"/>
      <c r="J75" s="59">
        <f>J74+J61</f>
        <v>0</v>
      </c>
      <c r="K75" s="74"/>
      <c r="L75" s="59">
        <f>L74+L61</f>
        <v>0</v>
      </c>
      <c r="M75" s="74"/>
      <c r="N75" s="74"/>
      <c r="O75" s="60">
        <f>O61</f>
        <v>0</v>
      </c>
    </row>
    <row r="78" spans="2:15" ht="18" thickBot="1">
      <c r="B78" s="1568" t="s">
        <v>182</v>
      </c>
      <c r="C78" s="1568"/>
      <c r="D78" s="1568"/>
      <c r="E78" s="1568"/>
      <c r="F78" s="1568"/>
      <c r="G78" s="1568"/>
      <c r="H78" s="1568"/>
      <c r="I78" s="1568"/>
      <c r="J78" s="1568"/>
      <c r="K78" s="1568"/>
      <c r="L78" s="1568"/>
      <c r="M78" s="1568"/>
      <c r="N78" s="1568"/>
      <c r="O78" s="1568"/>
    </row>
    <row r="79" spans="2:15" ht="24.95" customHeight="1">
      <c r="B79" s="1569" t="s">
        <v>81</v>
      </c>
      <c r="C79" s="1570"/>
      <c r="D79" s="1570"/>
      <c r="E79" s="1570"/>
      <c r="F79" s="1571"/>
      <c r="G79" s="1575" t="s">
        <v>158</v>
      </c>
      <c r="H79" s="1576"/>
      <c r="I79" s="1576"/>
      <c r="J79" s="1576"/>
      <c r="K79" s="1576"/>
      <c r="L79" s="1577"/>
      <c r="M79" s="1578" t="s">
        <v>159</v>
      </c>
      <c r="N79" s="1579"/>
      <c r="O79" s="1580"/>
    </row>
    <row r="80" spans="2:15" ht="24.95" customHeight="1" thickBot="1">
      <c r="B80" s="1572"/>
      <c r="C80" s="1573"/>
      <c r="D80" s="1573"/>
      <c r="E80" s="1573"/>
      <c r="F80" s="1574"/>
      <c r="G80" s="121">
        <v>9</v>
      </c>
      <c r="H80" s="122" t="s">
        <v>53</v>
      </c>
      <c r="I80" s="123">
        <v>12</v>
      </c>
      <c r="J80" s="122" t="s">
        <v>53</v>
      </c>
      <c r="K80" s="123">
        <v>15</v>
      </c>
      <c r="L80" s="124" t="s">
        <v>53</v>
      </c>
      <c r="M80" s="1581"/>
      <c r="N80" s="1582"/>
      <c r="O80" s="1583"/>
    </row>
    <row r="81" spans="2:15" ht="24.95" customHeight="1">
      <c r="B81" s="1594" t="s">
        <v>78</v>
      </c>
      <c r="C81" s="1595"/>
      <c r="D81" s="1595"/>
      <c r="E81" s="1595"/>
      <c r="F81" s="1596"/>
      <c r="G81" s="1597">
        <f>H38</f>
        <v>0</v>
      </c>
      <c r="H81" s="1598"/>
      <c r="I81" s="1599">
        <f>J38</f>
        <v>0</v>
      </c>
      <c r="J81" s="1598"/>
      <c r="K81" s="1599">
        <f>L38</f>
        <v>0</v>
      </c>
      <c r="L81" s="1600"/>
      <c r="M81" s="1601">
        <f>O38</f>
        <v>0</v>
      </c>
      <c r="N81" s="1602"/>
      <c r="O81" s="1603"/>
    </row>
    <row r="82" spans="2:15" ht="24.95" customHeight="1" thickBot="1">
      <c r="B82" s="1584" t="s">
        <v>79</v>
      </c>
      <c r="C82" s="1585"/>
      <c r="D82" s="1585"/>
      <c r="E82" s="1585"/>
      <c r="F82" s="1586"/>
      <c r="G82" s="1587">
        <f>H75</f>
        <v>0</v>
      </c>
      <c r="H82" s="1588"/>
      <c r="I82" s="1589">
        <f>J75</f>
        <v>0</v>
      </c>
      <c r="J82" s="1588"/>
      <c r="K82" s="1589">
        <f>L75</f>
        <v>0</v>
      </c>
      <c r="L82" s="1590"/>
      <c r="M82" s="1591">
        <f>O75</f>
        <v>0</v>
      </c>
      <c r="N82" s="1592"/>
      <c r="O82" s="1593"/>
    </row>
    <row r="83" spans="2:15" ht="24.95" customHeight="1" thickBot="1">
      <c r="B83" s="1615" t="s">
        <v>80</v>
      </c>
      <c r="C83" s="1616"/>
      <c r="D83" s="1616"/>
      <c r="E83" s="1616"/>
      <c r="F83" s="1617"/>
      <c r="G83" s="1618">
        <f>G81-G82</f>
        <v>0</v>
      </c>
      <c r="H83" s="1576"/>
      <c r="I83" s="1604">
        <f>I81-I82</f>
        <v>0</v>
      </c>
      <c r="J83" s="1576"/>
      <c r="K83" s="1604">
        <f>K81-K82</f>
        <v>0</v>
      </c>
      <c r="L83" s="1605"/>
      <c r="M83" s="1606">
        <f>M81-M82</f>
        <v>0</v>
      </c>
      <c r="N83" s="1607"/>
      <c r="O83" s="1577"/>
    </row>
    <row r="84" spans="2:15" ht="24.95" customHeight="1" thickBot="1">
      <c r="B84" s="1608" t="s">
        <v>160</v>
      </c>
      <c r="C84" s="1609"/>
      <c r="D84" s="1609"/>
      <c r="E84" s="1609"/>
      <c r="F84" s="1610"/>
      <c r="G84" s="120"/>
      <c r="H84" s="120"/>
      <c r="I84" s="1611">
        <f>MAX(G83:L83)</f>
        <v>0</v>
      </c>
      <c r="J84" s="1612"/>
      <c r="K84" s="120"/>
      <c r="L84" s="120"/>
      <c r="M84" s="1613">
        <f>M83</f>
        <v>0</v>
      </c>
      <c r="N84" s="1611"/>
      <c r="O84" s="1614"/>
    </row>
  </sheetData>
  <mergeCells count="72">
    <mergeCell ref="K83:L83"/>
    <mergeCell ref="M83:O83"/>
    <mergeCell ref="B84:F84"/>
    <mergeCell ref="I84:J84"/>
    <mergeCell ref="M84:O84"/>
    <mergeCell ref="B83:F83"/>
    <mergeCell ref="G83:H83"/>
    <mergeCell ref="I83:J83"/>
    <mergeCell ref="B81:F81"/>
    <mergeCell ref="G81:H81"/>
    <mergeCell ref="I81:J81"/>
    <mergeCell ref="K81:L81"/>
    <mergeCell ref="M81:O81"/>
    <mergeCell ref="B82:F82"/>
    <mergeCell ref="G82:H82"/>
    <mergeCell ref="I82:J82"/>
    <mergeCell ref="K82:L82"/>
    <mergeCell ref="M82:O82"/>
    <mergeCell ref="B74:D74"/>
    <mergeCell ref="B75:E75"/>
    <mergeCell ref="B78:O78"/>
    <mergeCell ref="B79:F80"/>
    <mergeCell ref="G79:L79"/>
    <mergeCell ref="M79:O80"/>
    <mergeCell ref="G62:L62"/>
    <mergeCell ref="D63:D65"/>
    <mergeCell ref="E63:E64"/>
    <mergeCell ref="F63:F64"/>
    <mergeCell ref="B66:B73"/>
    <mergeCell ref="C66:C73"/>
    <mergeCell ref="B44:B60"/>
    <mergeCell ref="C45:C52"/>
    <mergeCell ref="C53:C60"/>
    <mergeCell ref="B61:D61"/>
    <mergeCell ref="B62:C65"/>
    <mergeCell ref="D62:F62"/>
    <mergeCell ref="B40:C43"/>
    <mergeCell ref="D40:F40"/>
    <mergeCell ref="G40:L40"/>
    <mergeCell ref="M40:O40"/>
    <mergeCell ref="D41:D43"/>
    <mergeCell ref="E41:E42"/>
    <mergeCell ref="F41:F42"/>
    <mergeCell ref="M41:M42"/>
    <mergeCell ref="N41:N42"/>
    <mergeCell ref="O41:O42"/>
    <mergeCell ref="B39:O39"/>
    <mergeCell ref="O4:O5"/>
    <mergeCell ref="B7:B23"/>
    <mergeCell ref="C8:C15"/>
    <mergeCell ref="C16:C23"/>
    <mergeCell ref="B24:D24"/>
    <mergeCell ref="B25:C28"/>
    <mergeCell ref="D25:F25"/>
    <mergeCell ref="G25:L25"/>
    <mergeCell ref="D26:D28"/>
    <mergeCell ref="E26:E27"/>
    <mergeCell ref="F26:F27"/>
    <mergeCell ref="B29:B36"/>
    <mergeCell ref="C29:C36"/>
    <mergeCell ref="B37:D37"/>
    <mergeCell ref="B38:E38"/>
    <mergeCell ref="B2:O2"/>
    <mergeCell ref="B3:C6"/>
    <mergeCell ref="D3:F3"/>
    <mergeCell ref="G3:L3"/>
    <mergeCell ref="M3:O3"/>
    <mergeCell ref="D4:D6"/>
    <mergeCell ref="E4:E5"/>
    <mergeCell ref="F4:F5"/>
    <mergeCell ref="M4:M5"/>
    <mergeCell ref="N4:N5"/>
  </mergeCells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78"/>
  <sheetViews>
    <sheetView workbookViewId="0">
      <selection activeCell="K7" sqref="K7"/>
    </sheetView>
  </sheetViews>
  <sheetFormatPr defaultColWidth="9" defaultRowHeight="13.5"/>
  <cols>
    <col min="1" max="1" width="2.875" style="1" customWidth="1"/>
    <col min="2" max="2" width="5.125" style="1" customWidth="1"/>
    <col min="3" max="3" width="17.625" style="1" bestFit="1" customWidth="1"/>
    <col min="4" max="4" width="9" style="1" bestFit="1" customWidth="1"/>
    <col min="5" max="5" width="9" style="1"/>
    <col min="6" max="6" width="7.5" style="1" bestFit="1" customWidth="1"/>
    <col min="7" max="7" width="10" style="1" customWidth="1"/>
    <col min="8" max="10" width="9" style="1"/>
    <col min="11" max="11" width="18.375" style="1" customWidth="1"/>
    <col min="12" max="16384" width="9" style="1"/>
  </cols>
  <sheetData>
    <row r="1" spans="1:9">
      <c r="B1" s="1" t="s">
        <v>399</v>
      </c>
    </row>
    <row r="2" spans="1:9">
      <c r="A2" s="1">
        <v>1</v>
      </c>
      <c r="B2" s="1" t="s">
        <v>207</v>
      </c>
      <c r="C2" s="1" t="s">
        <v>394</v>
      </c>
    </row>
    <row r="3" spans="1:9">
      <c r="C3" s="1619" t="s">
        <v>220</v>
      </c>
      <c r="D3" s="21" t="s">
        <v>209</v>
      </c>
      <c r="E3" s="21" t="s">
        <v>208</v>
      </c>
      <c r="F3" s="21" t="s">
        <v>211</v>
      </c>
      <c r="G3" s="21" t="s">
        <v>215</v>
      </c>
      <c r="H3" s="21" t="s">
        <v>219</v>
      </c>
    </row>
    <row r="4" spans="1:9">
      <c r="C4" s="1619"/>
      <c r="D4" s="21" t="s">
        <v>214</v>
      </c>
      <c r="E4" s="21" t="s">
        <v>213</v>
      </c>
      <c r="F4" s="21" t="s">
        <v>212</v>
      </c>
      <c r="G4" s="21" t="s">
        <v>216</v>
      </c>
      <c r="H4" s="21" t="s">
        <v>214</v>
      </c>
    </row>
    <row r="5" spans="1:9">
      <c r="C5" s="90" t="s">
        <v>210</v>
      </c>
      <c r="D5" s="90">
        <v>24</v>
      </c>
      <c r="E5" s="151"/>
      <c r="F5" s="151"/>
      <c r="G5" s="264">
        <f>1/D5</f>
        <v>4.1666666666666664E-2</v>
      </c>
      <c r="H5" s="151"/>
    </row>
    <row r="6" spans="1:9">
      <c r="C6" s="90" t="s">
        <v>391</v>
      </c>
      <c r="D6" s="151"/>
      <c r="E6" s="90">
        <v>45</v>
      </c>
      <c r="F6" s="90">
        <v>8.0000000000000004E-4</v>
      </c>
      <c r="G6" s="264">
        <f>F6/E6</f>
        <v>1.777777777777778E-5</v>
      </c>
      <c r="H6" s="151"/>
    </row>
    <row r="7" spans="1:9">
      <c r="C7" s="90" t="s">
        <v>393</v>
      </c>
      <c r="D7" s="151"/>
      <c r="E7" s="90">
        <v>3.5000000000000003E-2</v>
      </c>
      <c r="F7" s="265">
        <v>4.0000000000000001E-3</v>
      </c>
      <c r="G7" s="264">
        <f>F7/E7</f>
        <v>0.11428571428571428</v>
      </c>
      <c r="H7" s="151"/>
      <c r="I7" s="1" t="s">
        <v>392</v>
      </c>
    </row>
    <row r="8" spans="1:9">
      <c r="C8" s="90" t="s">
        <v>217</v>
      </c>
      <c r="D8" s="90">
        <v>10</v>
      </c>
      <c r="E8" s="151"/>
      <c r="F8" s="151"/>
      <c r="G8" s="264">
        <f>1/D8</f>
        <v>0.1</v>
      </c>
      <c r="H8" s="151"/>
    </row>
    <row r="9" spans="1:9">
      <c r="C9" s="21" t="s">
        <v>218</v>
      </c>
      <c r="D9" s="151"/>
      <c r="E9" s="151"/>
      <c r="F9" s="90">
        <f>SUM(F5:F8)</f>
        <v>4.8000000000000004E-3</v>
      </c>
      <c r="G9" s="264">
        <f>SUM(G5:G8)</f>
        <v>0.25597015873015871</v>
      </c>
      <c r="H9" s="266">
        <f>ROUND(1/G9,2)</f>
        <v>3.91</v>
      </c>
    </row>
    <row r="51" spans="3:8">
      <c r="C51" s="1" t="s">
        <v>398</v>
      </c>
    </row>
    <row r="52" spans="3:8">
      <c r="C52" s="870" t="s">
        <v>81</v>
      </c>
      <c r="D52" s="4" t="s">
        <v>209</v>
      </c>
      <c r="E52" s="4" t="s">
        <v>208</v>
      </c>
      <c r="F52" s="4" t="s">
        <v>211</v>
      </c>
      <c r="G52" s="4" t="s">
        <v>215</v>
      </c>
      <c r="H52" s="4" t="s">
        <v>52</v>
      </c>
    </row>
    <row r="53" spans="3:8">
      <c r="C53" s="870"/>
      <c r="D53" s="4" t="s">
        <v>57</v>
      </c>
      <c r="E53" s="4" t="s">
        <v>213</v>
      </c>
      <c r="F53" s="4" t="s">
        <v>212</v>
      </c>
      <c r="G53" s="4" t="s">
        <v>216</v>
      </c>
      <c r="H53" s="4" t="s">
        <v>57</v>
      </c>
    </row>
    <row r="54" spans="3:8">
      <c r="C54" s="2" t="s">
        <v>210</v>
      </c>
      <c r="D54" s="2">
        <v>24</v>
      </c>
      <c r="E54" s="3"/>
      <c r="F54" s="3"/>
      <c r="G54" s="164">
        <f>1/D54</f>
        <v>4.1666666666666664E-2</v>
      </c>
      <c r="H54" s="3"/>
    </row>
    <row r="55" spans="3:8">
      <c r="C55" s="2" t="s">
        <v>223</v>
      </c>
      <c r="D55" s="3"/>
      <c r="E55" s="2">
        <v>1.4</v>
      </c>
      <c r="F55" s="165">
        <v>0.03</v>
      </c>
      <c r="G55" s="164">
        <f t="shared" ref="G55" si="0">F55/E55</f>
        <v>2.1428571428571429E-2</v>
      </c>
      <c r="H55" s="3"/>
    </row>
    <row r="56" spans="3:8">
      <c r="C56" s="2" t="s">
        <v>395</v>
      </c>
      <c r="D56" s="3"/>
      <c r="E56" s="2">
        <v>1.6</v>
      </c>
      <c r="F56" s="165">
        <v>0.06</v>
      </c>
      <c r="G56" s="164">
        <f t="shared" ref="G56:G58" si="1">F56/E56</f>
        <v>3.7499999999999999E-2</v>
      </c>
      <c r="H56" s="3"/>
    </row>
    <row r="57" spans="3:8">
      <c r="C57" s="2" t="s">
        <v>223</v>
      </c>
      <c r="D57" s="3"/>
      <c r="E57" s="2">
        <v>1.4</v>
      </c>
      <c r="F57" s="165">
        <v>0.03</v>
      </c>
      <c r="G57" s="164">
        <f t="shared" si="1"/>
        <v>2.1428571428571429E-2</v>
      </c>
      <c r="H57" s="3"/>
    </row>
    <row r="58" spans="3:8">
      <c r="C58" s="2" t="s">
        <v>396</v>
      </c>
      <c r="D58" s="3"/>
      <c r="E58" s="2">
        <v>0.74</v>
      </c>
      <c r="F58" s="165">
        <v>2E-3</v>
      </c>
      <c r="G58" s="164">
        <f t="shared" si="1"/>
        <v>2.7027027027027029E-3</v>
      </c>
      <c r="H58" s="3"/>
    </row>
    <row r="59" spans="3:8">
      <c r="C59" s="2" t="s">
        <v>224</v>
      </c>
      <c r="D59" s="3"/>
      <c r="E59" s="2">
        <v>1.6</v>
      </c>
      <c r="F59" s="165">
        <v>0.12</v>
      </c>
      <c r="G59" s="164">
        <f>F59/E59</f>
        <v>7.4999999999999997E-2</v>
      </c>
      <c r="H59" s="3"/>
    </row>
    <row r="60" spans="3:8">
      <c r="C60" s="2" t="s">
        <v>397</v>
      </c>
      <c r="D60" s="3"/>
      <c r="E60" s="2">
        <v>0.14000000000000001</v>
      </c>
      <c r="F60" s="2">
        <v>8.0000000000000002E-3</v>
      </c>
      <c r="G60" s="164">
        <f>F60/E60</f>
        <v>5.7142857142857141E-2</v>
      </c>
      <c r="H60" s="3"/>
    </row>
    <row r="61" spans="3:8">
      <c r="C61" s="2" t="s">
        <v>217</v>
      </c>
      <c r="D61" s="2">
        <v>10</v>
      </c>
      <c r="E61" s="3"/>
      <c r="F61" s="3"/>
      <c r="G61" s="164">
        <f>1/D61</f>
        <v>0.1</v>
      </c>
      <c r="H61" s="3"/>
    </row>
    <row r="62" spans="3:8">
      <c r="C62" s="4" t="s">
        <v>1</v>
      </c>
      <c r="D62" s="3"/>
      <c r="E62" s="3"/>
      <c r="F62" s="2">
        <f>SUM(F54:F61)</f>
        <v>0.25</v>
      </c>
      <c r="G62" s="164">
        <f>SUM(G54:G61)</f>
        <v>0.35686936936936942</v>
      </c>
      <c r="H62" s="12">
        <f>ROUND(1/G62,2)</f>
        <v>2.8</v>
      </c>
    </row>
    <row r="67" spans="1:8">
      <c r="A67" s="1">
        <v>2</v>
      </c>
      <c r="B67" s="1" t="s">
        <v>221</v>
      </c>
    </row>
    <row r="70" spans="1:8">
      <c r="C70" s="870" t="s">
        <v>220</v>
      </c>
      <c r="D70" s="4" t="s">
        <v>209</v>
      </c>
      <c r="E70" s="4" t="s">
        <v>208</v>
      </c>
      <c r="F70" s="4" t="s">
        <v>211</v>
      </c>
      <c r="G70" s="4" t="s">
        <v>215</v>
      </c>
      <c r="H70" s="4" t="s">
        <v>219</v>
      </c>
    </row>
    <row r="71" spans="1:8">
      <c r="C71" s="870"/>
      <c r="D71" s="4" t="s">
        <v>214</v>
      </c>
      <c r="E71" s="4" t="s">
        <v>213</v>
      </c>
      <c r="F71" s="4" t="s">
        <v>212</v>
      </c>
      <c r="G71" s="4" t="s">
        <v>216</v>
      </c>
      <c r="H71" s="4" t="s">
        <v>214</v>
      </c>
    </row>
    <row r="72" spans="1:8">
      <c r="C72" s="2" t="s">
        <v>210</v>
      </c>
      <c r="D72" s="2">
        <v>23</v>
      </c>
      <c r="E72" s="3"/>
      <c r="F72" s="3"/>
      <c r="G72" s="164">
        <f>1/D72</f>
        <v>4.3478260869565216E-2</v>
      </c>
      <c r="H72" s="3"/>
    </row>
    <row r="73" spans="1:8">
      <c r="C73" s="2" t="s">
        <v>222</v>
      </c>
      <c r="D73" s="3"/>
      <c r="E73" s="2">
        <v>1.3</v>
      </c>
      <c r="F73" s="2">
        <v>8.0000000000000002E-3</v>
      </c>
      <c r="G73" s="164">
        <f>F73/E73</f>
        <v>6.1538461538461538E-3</v>
      </c>
      <c r="H73" s="3"/>
    </row>
    <row r="74" spans="1:8">
      <c r="C74" s="2" t="s">
        <v>223</v>
      </c>
      <c r="D74" s="3"/>
      <c r="E74" s="2">
        <v>1.5</v>
      </c>
      <c r="F74" s="165">
        <v>0.02</v>
      </c>
      <c r="G74" s="164">
        <f t="shared" ref="G74:G76" si="2">F74/E74</f>
        <v>1.3333333333333334E-2</v>
      </c>
      <c r="H74" s="3"/>
    </row>
    <row r="75" spans="1:8">
      <c r="C75" s="2" t="s">
        <v>224</v>
      </c>
      <c r="D75" s="3"/>
      <c r="E75" s="2">
        <v>1.4</v>
      </c>
      <c r="F75" s="165">
        <v>0.15</v>
      </c>
      <c r="G75" s="164">
        <f t="shared" si="2"/>
        <v>0.10714285714285715</v>
      </c>
      <c r="H75" s="3"/>
    </row>
    <row r="76" spans="1:8">
      <c r="C76" s="2" t="s">
        <v>225</v>
      </c>
      <c r="D76" s="3"/>
      <c r="E76" s="2">
        <v>4.3999999999999997E-2</v>
      </c>
      <c r="F76" s="2">
        <v>2.5000000000000001E-2</v>
      </c>
      <c r="G76" s="164">
        <f t="shared" si="2"/>
        <v>0.56818181818181823</v>
      </c>
      <c r="H76" s="3"/>
    </row>
    <row r="77" spans="1:8">
      <c r="C77" s="2" t="s">
        <v>217</v>
      </c>
      <c r="D77" s="2">
        <v>9</v>
      </c>
      <c r="E77" s="3"/>
      <c r="F77" s="3"/>
      <c r="G77" s="164">
        <f>1/D77</f>
        <v>0.1111111111111111</v>
      </c>
      <c r="H77" s="3"/>
    </row>
    <row r="78" spans="1:8">
      <c r="C78" s="4" t="s">
        <v>218</v>
      </c>
      <c r="D78" s="3"/>
      <c r="E78" s="3"/>
      <c r="F78" s="2">
        <f>SUM(F72:F77)</f>
        <v>0.20299999999999999</v>
      </c>
      <c r="G78" s="164">
        <f>SUM(G72:G77)</f>
        <v>0.84940122679253127</v>
      </c>
      <c r="H78" s="12">
        <f>ROUND(1/G78,2)</f>
        <v>1.18</v>
      </c>
    </row>
  </sheetData>
  <mergeCells count="3">
    <mergeCell ref="C3:C4"/>
    <mergeCell ref="C70:C71"/>
    <mergeCell ref="C52:C53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AB141"/>
  <sheetViews>
    <sheetView topLeftCell="A43" workbookViewId="0">
      <selection activeCell="L66" sqref="L66"/>
    </sheetView>
  </sheetViews>
  <sheetFormatPr defaultColWidth="9" defaultRowHeight="13.5"/>
  <cols>
    <col min="1" max="1" width="3.25" style="89" customWidth="1"/>
    <col min="2" max="3" width="9" style="89"/>
    <col min="4" max="27" width="4.625" style="89" customWidth="1"/>
    <col min="28" max="28" width="9" style="89"/>
    <col min="29" max="16384" width="9" style="1"/>
  </cols>
  <sheetData>
    <row r="3" spans="2:27">
      <c r="B3" s="261" t="s">
        <v>364</v>
      </c>
    </row>
    <row r="4" spans="2:27">
      <c r="B4" s="1622" t="s">
        <v>138</v>
      </c>
      <c r="C4" s="1622" t="s">
        <v>50</v>
      </c>
      <c r="D4" s="1622" t="s">
        <v>139</v>
      </c>
      <c r="E4" s="1622"/>
      <c r="F4" s="1622"/>
      <c r="G4" s="1622"/>
      <c r="H4" s="1622"/>
      <c r="I4" s="1622"/>
      <c r="J4" s="1622"/>
      <c r="K4" s="1622"/>
      <c r="L4" s="1622"/>
      <c r="M4" s="1622"/>
      <c r="N4" s="1622"/>
      <c r="O4" s="1622"/>
      <c r="P4" s="1622"/>
      <c r="Q4" s="1622"/>
      <c r="R4" s="1622"/>
      <c r="S4" s="1622"/>
      <c r="T4" s="1622"/>
      <c r="U4" s="1622"/>
      <c r="V4" s="1622"/>
      <c r="W4" s="1622"/>
      <c r="X4" s="1622"/>
      <c r="Y4" s="1622"/>
      <c r="Z4" s="1622"/>
      <c r="AA4" s="1622"/>
    </row>
    <row r="5" spans="2:27">
      <c r="B5" s="1622"/>
      <c r="C5" s="1622"/>
      <c r="D5" s="151">
        <v>1</v>
      </c>
      <c r="E5" s="151">
        <v>2</v>
      </c>
      <c r="F5" s="151">
        <v>3</v>
      </c>
      <c r="G5" s="151">
        <v>4</v>
      </c>
      <c r="H5" s="90">
        <v>5</v>
      </c>
      <c r="I5" s="90">
        <v>6</v>
      </c>
      <c r="J5" s="90">
        <v>7</v>
      </c>
      <c r="K5" s="90">
        <v>8</v>
      </c>
      <c r="L5" s="90">
        <v>9</v>
      </c>
      <c r="M5" s="90">
        <v>10</v>
      </c>
      <c r="N5" s="90">
        <v>11</v>
      </c>
      <c r="O5" s="90">
        <v>12</v>
      </c>
      <c r="P5" s="90">
        <v>13</v>
      </c>
      <c r="Q5" s="90">
        <v>14</v>
      </c>
      <c r="R5" s="90">
        <v>15</v>
      </c>
      <c r="S5" s="90">
        <v>16</v>
      </c>
      <c r="T5" s="90">
        <v>17</v>
      </c>
      <c r="U5" s="90">
        <v>18</v>
      </c>
      <c r="V5" s="90">
        <v>19</v>
      </c>
      <c r="W5" s="90">
        <v>20</v>
      </c>
      <c r="X5" s="90">
        <v>21</v>
      </c>
      <c r="Y5" s="151">
        <v>22</v>
      </c>
      <c r="Z5" s="151">
        <v>23</v>
      </c>
      <c r="AA5" s="151">
        <v>24</v>
      </c>
    </row>
    <row r="6" spans="2:27" ht="14.25" thickBot="1">
      <c r="B6" s="1622" t="s">
        <v>188</v>
      </c>
      <c r="C6" s="186" t="s">
        <v>140</v>
      </c>
      <c r="D6" s="187">
        <v>0</v>
      </c>
      <c r="E6" s="187">
        <v>0</v>
      </c>
      <c r="F6" s="187">
        <v>0</v>
      </c>
      <c r="G6" s="187">
        <v>0</v>
      </c>
      <c r="H6" s="186">
        <v>2</v>
      </c>
      <c r="I6" s="186">
        <v>2</v>
      </c>
      <c r="J6" s="186">
        <v>2</v>
      </c>
      <c r="K6" s="186">
        <v>2</v>
      </c>
      <c r="L6" s="186">
        <v>2</v>
      </c>
      <c r="M6" s="186">
        <v>2</v>
      </c>
      <c r="N6" s="186">
        <v>3</v>
      </c>
      <c r="O6" s="186">
        <v>3</v>
      </c>
      <c r="P6" s="186">
        <v>4</v>
      </c>
      <c r="Q6" s="186">
        <v>4</v>
      </c>
      <c r="R6" s="186">
        <v>5</v>
      </c>
      <c r="S6" s="186">
        <v>5</v>
      </c>
      <c r="T6" s="186">
        <v>6</v>
      </c>
      <c r="U6" s="186">
        <v>6</v>
      </c>
      <c r="V6" s="186">
        <v>6</v>
      </c>
      <c r="W6" s="186">
        <v>5</v>
      </c>
      <c r="X6" s="186">
        <v>5</v>
      </c>
      <c r="Y6" s="187">
        <v>0</v>
      </c>
      <c r="Z6" s="187">
        <v>0</v>
      </c>
      <c r="AA6" s="187">
        <v>0</v>
      </c>
    </row>
    <row r="7" spans="2:27" ht="14.25" thickBot="1">
      <c r="B7" s="1624"/>
      <c r="C7" s="198" t="s">
        <v>141</v>
      </c>
      <c r="D7" s="199">
        <v>0</v>
      </c>
      <c r="E7" s="199">
        <v>0</v>
      </c>
      <c r="F7" s="199">
        <v>0</v>
      </c>
      <c r="G7" s="199">
        <v>0</v>
      </c>
      <c r="H7" s="222">
        <v>5</v>
      </c>
      <c r="I7" s="222">
        <v>4</v>
      </c>
      <c r="J7" s="222">
        <v>5</v>
      </c>
      <c r="K7" s="222">
        <v>6</v>
      </c>
      <c r="L7" s="222">
        <v>8</v>
      </c>
      <c r="M7" s="222">
        <v>10</v>
      </c>
      <c r="N7" s="222">
        <v>13</v>
      </c>
      <c r="O7" s="222">
        <v>17</v>
      </c>
      <c r="P7" s="222">
        <v>20</v>
      </c>
      <c r="Q7" s="222">
        <v>22</v>
      </c>
      <c r="R7" s="222">
        <v>24</v>
      </c>
      <c r="S7" s="222">
        <v>25</v>
      </c>
      <c r="T7" s="222">
        <v>25</v>
      </c>
      <c r="U7" s="222">
        <v>24</v>
      </c>
      <c r="V7" s="222">
        <v>22</v>
      </c>
      <c r="W7" s="222">
        <v>20</v>
      </c>
      <c r="X7" s="222">
        <v>17</v>
      </c>
      <c r="Y7" s="199">
        <v>0</v>
      </c>
      <c r="Z7" s="199">
        <v>0</v>
      </c>
      <c r="AA7" s="204">
        <v>0</v>
      </c>
    </row>
    <row r="8" spans="2:27">
      <c r="B8" s="1622"/>
      <c r="C8" s="192" t="s">
        <v>142</v>
      </c>
      <c r="D8" s="193">
        <v>0</v>
      </c>
      <c r="E8" s="193">
        <v>0</v>
      </c>
      <c r="F8" s="193">
        <v>0</v>
      </c>
      <c r="G8" s="193">
        <v>0</v>
      </c>
      <c r="H8" s="192">
        <v>3</v>
      </c>
      <c r="I8" s="192">
        <v>3</v>
      </c>
      <c r="J8" s="192">
        <v>3</v>
      </c>
      <c r="K8" s="192">
        <v>3</v>
      </c>
      <c r="L8" s="192">
        <v>4</v>
      </c>
      <c r="M8" s="192">
        <v>4</v>
      </c>
      <c r="N8" s="192">
        <v>4</v>
      </c>
      <c r="O8" s="192">
        <v>5</v>
      </c>
      <c r="P8" s="192">
        <v>6</v>
      </c>
      <c r="Q8" s="192">
        <v>6</v>
      </c>
      <c r="R8" s="192">
        <v>7</v>
      </c>
      <c r="S8" s="192">
        <v>7</v>
      </c>
      <c r="T8" s="192">
        <v>7</v>
      </c>
      <c r="U8" s="192">
        <v>8</v>
      </c>
      <c r="V8" s="192">
        <v>8</v>
      </c>
      <c r="W8" s="192">
        <v>8</v>
      </c>
      <c r="X8" s="192">
        <v>7</v>
      </c>
      <c r="Y8" s="193">
        <v>0</v>
      </c>
      <c r="Z8" s="193">
        <v>0</v>
      </c>
      <c r="AA8" s="193">
        <v>0</v>
      </c>
    </row>
    <row r="9" spans="2:27">
      <c r="B9" s="1622"/>
      <c r="C9" s="90" t="s">
        <v>143</v>
      </c>
      <c r="D9" s="151">
        <v>0</v>
      </c>
      <c r="E9" s="151">
        <v>0</v>
      </c>
      <c r="F9" s="151">
        <v>0</v>
      </c>
      <c r="G9" s="151">
        <v>0</v>
      </c>
      <c r="H9" s="90">
        <v>3</v>
      </c>
      <c r="I9" s="90">
        <v>3</v>
      </c>
      <c r="J9" s="90">
        <v>4</v>
      </c>
      <c r="K9" s="90">
        <v>6</v>
      </c>
      <c r="L9" s="90">
        <v>8</v>
      </c>
      <c r="M9" s="90">
        <v>9</v>
      </c>
      <c r="N9" s="90">
        <v>10</v>
      </c>
      <c r="O9" s="90">
        <v>10</v>
      </c>
      <c r="P9" s="90">
        <v>10</v>
      </c>
      <c r="Q9" s="90">
        <v>10</v>
      </c>
      <c r="R9" s="90">
        <v>10</v>
      </c>
      <c r="S9" s="90">
        <v>9</v>
      </c>
      <c r="T9" s="90">
        <v>9</v>
      </c>
      <c r="U9" s="90">
        <v>9</v>
      </c>
      <c r="V9" s="90">
        <v>8</v>
      </c>
      <c r="W9" s="90">
        <v>8</v>
      </c>
      <c r="X9" s="90">
        <v>7</v>
      </c>
      <c r="Y9" s="151">
        <v>0</v>
      </c>
      <c r="Z9" s="151">
        <v>0</v>
      </c>
      <c r="AA9" s="151">
        <v>0</v>
      </c>
    </row>
    <row r="10" spans="2:27">
      <c r="B10" s="1622"/>
      <c r="C10" s="90" t="s">
        <v>144</v>
      </c>
      <c r="D10" s="151">
        <v>0</v>
      </c>
      <c r="E10" s="151">
        <v>0</v>
      </c>
      <c r="F10" s="151">
        <v>0</v>
      </c>
      <c r="G10" s="151">
        <v>0</v>
      </c>
      <c r="H10" s="90">
        <v>3</v>
      </c>
      <c r="I10" s="90">
        <v>3</v>
      </c>
      <c r="J10" s="90">
        <v>4</v>
      </c>
      <c r="K10" s="90">
        <v>7</v>
      </c>
      <c r="L10" s="90">
        <v>9</v>
      </c>
      <c r="M10" s="90">
        <v>11</v>
      </c>
      <c r="N10" s="90">
        <v>13</v>
      </c>
      <c r="O10" s="90">
        <v>13</v>
      </c>
      <c r="P10" s="90">
        <v>13</v>
      </c>
      <c r="Q10" s="90">
        <v>13</v>
      </c>
      <c r="R10" s="90">
        <v>12</v>
      </c>
      <c r="S10" s="90">
        <v>12</v>
      </c>
      <c r="T10" s="90">
        <v>11</v>
      </c>
      <c r="U10" s="90">
        <v>10</v>
      </c>
      <c r="V10" s="90">
        <v>10</v>
      </c>
      <c r="W10" s="90">
        <v>9</v>
      </c>
      <c r="X10" s="90">
        <v>8</v>
      </c>
      <c r="Y10" s="151">
        <v>0</v>
      </c>
      <c r="Z10" s="151">
        <v>0</v>
      </c>
      <c r="AA10" s="151">
        <v>0</v>
      </c>
    </row>
    <row r="11" spans="2:27">
      <c r="B11" s="1622"/>
      <c r="C11" s="90" t="s">
        <v>145</v>
      </c>
      <c r="D11" s="151">
        <v>0</v>
      </c>
      <c r="E11" s="151">
        <v>0</v>
      </c>
      <c r="F11" s="151">
        <v>0</v>
      </c>
      <c r="G11" s="151">
        <v>0</v>
      </c>
      <c r="H11" s="90">
        <v>3</v>
      </c>
      <c r="I11" s="90">
        <v>3</v>
      </c>
      <c r="J11" s="90">
        <v>4</v>
      </c>
      <c r="K11" s="90">
        <v>5</v>
      </c>
      <c r="L11" s="90">
        <v>7</v>
      </c>
      <c r="M11" s="90">
        <v>9</v>
      </c>
      <c r="N11" s="90">
        <v>10</v>
      </c>
      <c r="O11" s="90">
        <v>12</v>
      </c>
      <c r="P11" s="90">
        <v>12</v>
      </c>
      <c r="Q11" s="90">
        <v>12</v>
      </c>
      <c r="R11" s="90">
        <v>12</v>
      </c>
      <c r="S11" s="90">
        <v>11</v>
      </c>
      <c r="T11" s="90">
        <v>11</v>
      </c>
      <c r="U11" s="90">
        <v>10</v>
      </c>
      <c r="V11" s="90">
        <v>9</v>
      </c>
      <c r="W11" s="90">
        <v>9</v>
      </c>
      <c r="X11" s="90">
        <v>8</v>
      </c>
      <c r="Y11" s="151">
        <v>0</v>
      </c>
      <c r="Z11" s="151">
        <v>0</v>
      </c>
      <c r="AA11" s="151">
        <v>0</v>
      </c>
    </row>
    <row r="12" spans="2:27">
      <c r="B12" s="1622"/>
      <c r="C12" s="90" t="s">
        <v>146</v>
      </c>
      <c r="D12" s="151">
        <v>0</v>
      </c>
      <c r="E12" s="151">
        <v>0</v>
      </c>
      <c r="F12" s="151">
        <v>0</v>
      </c>
      <c r="G12" s="151">
        <v>0</v>
      </c>
      <c r="H12" s="90">
        <v>3</v>
      </c>
      <c r="I12" s="90">
        <v>3</v>
      </c>
      <c r="J12" s="90">
        <v>2</v>
      </c>
      <c r="K12" s="90">
        <v>3</v>
      </c>
      <c r="L12" s="90">
        <v>3</v>
      </c>
      <c r="M12" s="90">
        <v>4</v>
      </c>
      <c r="N12" s="90">
        <v>5</v>
      </c>
      <c r="O12" s="90">
        <v>6</v>
      </c>
      <c r="P12" s="90">
        <v>8</v>
      </c>
      <c r="Q12" s="90">
        <v>9</v>
      </c>
      <c r="R12" s="90">
        <v>10</v>
      </c>
      <c r="S12" s="90">
        <v>10</v>
      </c>
      <c r="T12" s="90">
        <v>10</v>
      </c>
      <c r="U12" s="90">
        <v>10</v>
      </c>
      <c r="V12" s="90">
        <v>9</v>
      </c>
      <c r="W12" s="90">
        <v>8</v>
      </c>
      <c r="X12" s="90">
        <v>8</v>
      </c>
      <c r="Y12" s="151">
        <v>0</v>
      </c>
      <c r="Z12" s="151">
        <v>0</v>
      </c>
      <c r="AA12" s="151">
        <v>0</v>
      </c>
    </row>
    <row r="13" spans="2:27">
      <c r="B13" s="1622"/>
      <c r="C13" s="90" t="s">
        <v>147</v>
      </c>
      <c r="D13" s="151">
        <v>0</v>
      </c>
      <c r="E13" s="151">
        <v>0</v>
      </c>
      <c r="F13" s="151">
        <v>0</v>
      </c>
      <c r="G13" s="151">
        <v>0</v>
      </c>
      <c r="H13" s="90">
        <v>4</v>
      </c>
      <c r="I13" s="90">
        <v>3</v>
      </c>
      <c r="J13" s="90">
        <v>3</v>
      </c>
      <c r="K13" s="90">
        <v>3</v>
      </c>
      <c r="L13" s="90">
        <v>3</v>
      </c>
      <c r="M13" s="90">
        <v>4</v>
      </c>
      <c r="N13" s="90">
        <v>4</v>
      </c>
      <c r="O13" s="90">
        <v>5</v>
      </c>
      <c r="P13" s="90">
        <v>6</v>
      </c>
      <c r="Q13" s="90">
        <v>8</v>
      </c>
      <c r="R13" s="90">
        <v>10</v>
      </c>
      <c r="S13" s="90">
        <v>12</v>
      </c>
      <c r="T13" s="90">
        <v>13</v>
      </c>
      <c r="U13" s="90">
        <v>14</v>
      </c>
      <c r="V13" s="90">
        <v>14</v>
      </c>
      <c r="W13" s="90">
        <v>13</v>
      </c>
      <c r="X13" s="90">
        <v>12</v>
      </c>
      <c r="Y13" s="151">
        <v>0</v>
      </c>
      <c r="Z13" s="151">
        <v>0</v>
      </c>
      <c r="AA13" s="151">
        <v>0</v>
      </c>
    </row>
    <row r="14" spans="2:27">
      <c r="B14" s="1622"/>
      <c r="C14" s="90" t="s">
        <v>148</v>
      </c>
      <c r="D14" s="151">
        <v>0</v>
      </c>
      <c r="E14" s="151">
        <v>0</v>
      </c>
      <c r="F14" s="151">
        <v>0</v>
      </c>
      <c r="G14" s="151">
        <v>0</v>
      </c>
      <c r="H14" s="90">
        <v>4</v>
      </c>
      <c r="I14" s="90">
        <v>4</v>
      </c>
      <c r="J14" s="90">
        <v>3</v>
      </c>
      <c r="K14" s="90">
        <v>3</v>
      </c>
      <c r="L14" s="90">
        <v>3</v>
      </c>
      <c r="M14" s="90">
        <v>4</v>
      </c>
      <c r="N14" s="90">
        <v>4</v>
      </c>
      <c r="O14" s="90">
        <v>5</v>
      </c>
      <c r="P14" s="90">
        <v>6</v>
      </c>
      <c r="Q14" s="90">
        <v>7</v>
      </c>
      <c r="R14" s="90">
        <v>9</v>
      </c>
      <c r="S14" s="90">
        <v>12</v>
      </c>
      <c r="T14" s="90">
        <v>14</v>
      </c>
      <c r="U14" s="90">
        <v>16</v>
      </c>
      <c r="V14" s="90">
        <v>16</v>
      </c>
      <c r="W14" s="90">
        <v>16</v>
      </c>
      <c r="X14" s="90">
        <v>14</v>
      </c>
      <c r="Y14" s="151">
        <v>0</v>
      </c>
      <c r="Z14" s="151">
        <v>0</v>
      </c>
      <c r="AA14" s="151">
        <v>0</v>
      </c>
    </row>
    <row r="15" spans="2:27">
      <c r="B15" s="1622"/>
      <c r="C15" s="90" t="s">
        <v>149</v>
      </c>
      <c r="D15" s="151">
        <v>0</v>
      </c>
      <c r="E15" s="151">
        <v>0</v>
      </c>
      <c r="F15" s="151">
        <v>0</v>
      </c>
      <c r="G15" s="151">
        <v>0</v>
      </c>
      <c r="H15" s="90">
        <v>4</v>
      </c>
      <c r="I15" s="90">
        <v>3</v>
      </c>
      <c r="J15" s="90">
        <v>3</v>
      </c>
      <c r="K15" s="90">
        <v>3</v>
      </c>
      <c r="L15" s="90">
        <v>3</v>
      </c>
      <c r="M15" s="90">
        <v>4</v>
      </c>
      <c r="N15" s="90">
        <v>4</v>
      </c>
      <c r="O15" s="90">
        <v>5</v>
      </c>
      <c r="P15" s="90">
        <v>5</v>
      </c>
      <c r="Q15" s="90">
        <v>6</v>
      </c>
      <c r="R15" s="90">
        <v>7</v>
      </c>
      <c r="S15" s="90">
        <v>9</v>
      </c>
      <c r="T15" s="90">
        <v>11</v>
      </c>
      <c r="U15" s="90">
        <v>12</v>
      </c>
      <c r="V15" s="90">
        <v>13</v>
      </c>
      <c r="W15" s="90">
        <v>13</v>
      </c>
      <c r="X15" s="90">
        <v>12</v>
      </c>
      <c r="Y15" s="151">
        <v>0</v>
      </c>
      <c r="Z15" s="151">
        <v>0</v>
      </c>
      <c r="AA15" s="151">
        <v>0</v>
      </c>
    </row>
    <row r="17" spans="2:27">
      <c r="B17" s="91" t="s">
        <v>365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2:27" ht="14.25" thickBot="1">
      <c r="B18" s="1620" t="s">
        <v>138</v>
      </c>
      <c r="C18" s="1620" t="s">
        <v>50</v>
      </c>
      <c r="D18" s="1620" t="s">
        <v>139</v>
      </c>
      <c r="E18" s="1620"/>
      <c r="F18" s="1620"/>
      <c r="G18" s="1620"/>
      <c r="H18" s="1620"/>
      <c r="I18" s="1620"/>
      <c r="J18" s="1620"/>
      <c r="K18" s="1620"/>
      <c r="L18" s="1625"/>
      <c r="M18" s="1620"/>
      <c r="N18" s="1620"/>
      <c r="O18" s="1625"/>
      <c r="P18" s="1620"/>
      <c r="Q18" s="1620"/>
      <c r="R18" s="1625"/>
      <c r="S18" s="1620"/>
      <c r="T18" s="1620"/>
      <c r="U18" s="1620"/>
      <c r="V18" s="1620"/>
      <c r="W18" s="1620"/>
      <c r="X18" s="1620"/>
      <c r="Y18" s="1620"/>
      <c r="Z18" s="1620"/>
      <c r="AA18" s="1620"/>
    </row>
    <row r="19" spans="2:27">
      <c r="B19" s="1620"/>
      <c r="C19" s="1620"/>
      <c r="D19" s="152">
        <v>1</v>
      </c>
      <c r="E19" s="152">
        <v>2</v>
      </c>
      <c r="F19" s="152">
        <v>3</v>
      </c>
      <c r="G19" s="152">
        <v>4</v>
      </c>
      <c r="H19" s="93">
        <v>5</v>
      </c>
      <c r="I19" s="93">
        <v>6</v>
      </c>
      <c r="J19" s="93">
        <v>7</v>
      </c>
      <c r="K19" s="94">
        <v>8</v>
      </c>
      <c r="L19" s="95">
        <v>9</v>
      </c>
      <c r="M19" s="96">
        <v>10</v>
      </c>
      <c r="N19" s="94">
        <v>11</v>
      </c>
      <c r="O19" s="95">
        <v>12</v>
      </c>
      <c r="P19" s="96">
        <v>13</v>
      </c>
      <c r="Q19" s="94">
        <v>14</v>
      </c>
      <c r="R19" s="95">
        <v>15</v>
      </c>
      <c r="S19" s="96">
        <v>16</v>
      </c>
      <c r="T19" s="93">
        <v>17</v>
      </c>
      <c r="U19" s="93">
        <v>18</v>
      </c>
      <c r="V19" s="93">
        <v>19</v>
      </c>
      <c r="W19" s="93">
        <v>20</v>
      </c>
      <c r="X19" s="93">
        <v>21</v>
      </c>
      <c r="Y19" s="152">
        <v>22</v>
      </c>
      <c r="Z19" s="152">
        <v>23</v>
      </c>
      <c r="AA19" s="151">
        <v>24</v>
      </c>
    </row>
    <row r="20" spans="2:27" ht="14.25" thickBot="1">
      <c r="B20" s="1620" t="s">
        <v>189</v>
      </c>
      <c r="C20" s="205" t="s">
        <v>140</v>
      </c>
      <c r="D20" s="187">
        <v>0</v>
      </c>
      <c r="E20" s="187">
        <v>0</v>
      </c>
      <c r="F20" s="187">
        <v>0</v>
      </c>
      <c r="G20" s="187">
        <v>0</v>
      </c>
      <c r="H20" s="206">
        <f>H6+'実効温度差（ETD)諸言'!$G$38</f>
        <v>1.0999999999999979</v>
      </c>
      <c r="I20" s="206">
        <f>I6+'実効温度差（ETD)諸言'!$G$38</f>
        <v>1.0999999999999979</v>
      </c>
      <c r="J20" s="206">
        <f>J6+'実効温度差（ETD)諸言'!$G$38</f>
        <v>1.0999999999999979</v>
      </c>
      <c r="K20" s="207">
        <f>K6+'実効温度差（ETD)諸言'!$G$38</f>
        <v>1.0999999999999979</v>
      </c>
      <c r="L20" s="208">
        <f>L6+'実効温度差（ETD)諸言'!$G$38</f>
        <v>1.0999999999999979</v>
      </c>
      <c r="M20" s="209">
        <f>M6+'実効温度差（ETD)諸言'!$G$38</f>
        <v>1.0999999999999979</v>
      </c>
      <c r="N20" s="207">
        <f>N6+'実効温度差（ETD)諸言'!$G$38</f>
        <v>2.0999999999999979</v>
      </c>
      <c r="O20" s="208">
        <f>O6+'実効温度差（ETD)諸言'!$G$38</f>
        <v>2.0999999999999979</v>
      </c>
      <c r="P20" s="209">
        <f>P6+'実効温度差（ETD)諸言'!$G$38</f>
        <v>3.0999999999999979</v>
      </c>
      <c r="Q20" s="207">
        <f>Q6+'実効温度差（ETD)諸言'!$G$38</f>
        <v>3.0999999999999979</v>
      </c>
      <c r="R20" s="208">
        <f>R6+'実効温度差（ETD)諸言'!$G$38</f>
        <v>4.0999999999999979</v>
      </c>
      <c r="S20" s="209">
        <f>S6+'実効温度差（ETD)諸言'!$G$38</f>
        <v>4.0999999999999979</v>
      </c>
      <c r="T20" s="206">
        <f>T6+'実効温度差（ETD)諸言'!$G$38</f>
        <v>5.0999999999999979</v>
      </c>
      <c r="U20" s="206">
        <f>U6+'実効温度差（ETD)諸言'!$G$38</f>
        <v>5.0999999999999979</v>
      </c>
      <c r="V20" s="206">
        <f>V6+'実効温度差（ETD)諸言'!$G$38</f>
        <v>5.0999999999999979</v>
      </c>
      <c r="W20" s="206">
        <f>W6+'実効温度差（ETD)諸言'!$G$38</f>
        <v>4.0999999999999979</v>
      </c>
      <c r="X20" s="206">
        <f>X6+'実効温度差（ETD)諸言'!$G$38</f>
        <v>4.0999999999999979</v>
      </c>
      <c r="Y20" s="187">
        <v>0</v>
      </c>
      <c r="Z20" s="187">
        <v>0</v>
      </c>
      <c r="AA20" s="187">
        <v>0</v>
      </c>
    </row>
    <row r="21" spans="2:27" ht="14.25" thickBot="1">
      <c r="B21" s="1621"/>
      <c r="C21" s="216" t="s">
        <v>141</v>
      </c>
      <c r="D21" s="199">
        <v>0</v>
      </c>
      <c r="E21" s="199">
        <v>0</v>
      </c>
      <c r="F21" s="199">
        <v>0</v>
      </c>
      <c r="G21" s="199">
        <v>0</v>
      </c>
      <c r="H21" s="217">
        <f>H7+'実効温度差（ETD)諸言'!$G$38</f>
        <v>4.0999999999999979</v>
      </c>
      <c r="I21" s="217">
        <f>I7+'実効温度差（ETD)諸言'!$G$38</f>
        <v>3.0999999999999979</v>
      </c>
      <c r="J21" s="217">
        <f>J7+'実効温度差（ETD)諸言'!$G$38</f>
        <v>4.0999999999999979</v>
      </c>
      <c r="K21" s="218">
        <f>K7+'実効温度差（ETD)諸言'!$G$38</f>
        <v>5.0999999999999979</v>
      </c>
      <c r="L21" s="219">
        <f>L7+'実効温度差（ETD)諸言'!$G$38</f>
        <v>7.0999999999999979</v>
      </c>
      <c r="M21" s="220">
        <f>M7+'実効温度差（ETD)諸言'!$G$38</f>
        <v>9.0999999999999979</v>
      </c>
      <c r="N21" s="218">
        <f>N7+'実効温度差（ETD)諸言'!$G$38</f>
        <v>12.099999999999998</v>
      </c>
      <c r="O21" s="221">
        <f>O7+'実効温度差（ETD)諸言'!$G$38</f>
        <v>16.099999999999998</v>
      </c>
      <c r="P21" s="220">
        <f>P7+'実効温度差（ETD)諸言'!$G$38</f>
        <v>19.099999999999998</v>
      </c>
      <c r="Q21" s="218">
        <f>Q7+'実効温度差（ETD)諸言'!$G$38</f>
        <v>21.099999999999998</v>
      </c>
      <c r="R21" s="219">
        <f>R7+'実効温度差（ETD)諸言'!$G$38</f>
        <v>23.099999999999998</v>
      </c>
      <c r="S21" s="220">
        <f>S7+'実効温度差（ETD)諸言'!$G$38</f>
        <v>24.099999999999998</v>
      </c>
      <c r="T21" s="217">
        <f>T7+'実効温度差（ETD)諸言'!$G$38</f>
        <v>24.099999999999998</v>
      </c>
      <c r="U21" s="217">
        <f>U7+'実効温度差（ETD)諸言'!$G$38</f>
        <v>23.099999999999998</v>
      </c>
      <c r="V21" s="217">
        <f>V7+'実効温度差（ETD)諸言'!$G$38</f>
        <v>21.099999999999998</v>
      </c>
      <c r="W21" s="217">
        <f>W7+'実効温度差（ETD)諸言'!$G$38</f>
        <v>19.099999999999998</v>
      </c>
      <c r="X21" s="217">
        <f>X7+'実効温度差（ETD)諸言'!$G$38</f>
        <v>16.099999999999998</v>
      </c>
      <c r="Y21" s="199">
        <v>0</v>
      </c>
      <c r="Z21" s="199">
        <v>0</v>
      </c>
      <c r="AA21" s="204">
        <v>0</v>
      </c>
    </row>
    <row r="22" spans="2:27">
      <c r="B22" s="1620"/>
      <c r="C22" s="210" t="s">
        <v>142</v>
      </c>
      <c r="D22" s="193">
        <v>0</v>
      </c>
      <c r="E22" s="193">
        <v>0</v>
      </c>
      <c r="F22" s="193">
        <v>0</v>
      </c>
      <c r="G22" s="193">
        <v>0</v>
      </c>
      <c r="H22" s="211">
        <f>H8+'実効温度差（ETD)諸言'!$G$38</f>
        <v>2.0999999999999979</v>
      </c>
      <c r="I22" s="211">
        <f>I8+'実効温度差（ETD)諸言'!$G$38</f>
        <v>2.0999999999999979</v>
      </c>
      <c r="J22" s="211">
        <f>J8+'実効温度差（ETD)諸言'!$G$38</f>
        <v>2.0999999999999979</v>
      </c>
      <c r="K22" s="212">
        <f>K8+'実効温度差（ETD)諸言'!$G$38</f>
        <v>2.0999999999999979</v>
      </c>
      <c r="L22" s="213">
        <f>L8+'実効温度差（ETD)諸言'!$G$38</f>
        <v>3.0999999999999979</v>
      </c>
      <c r="M22" s="214">
        <f>M8+'実効温度差（ETD)諸言'!$G$38</f>
        <v>3.0999999999999979</v>
      </c>
      <c r="N22" s="212">
        <f>N8+'実効温度差（ETD)諸言'!$G$38</f>
        <v>3.0999999999999979</v>
      </c>
      <c r="O22" s="215">
        <f>O8+'実効温度差（ETD)諸言'!$G$38</f>
        <v>4.0999999999999979</v>
      </c>
      <c r="P22" s="214">
        <f>P8+'実効温度差（ETD)諸言'!$G$38</f>
        <v>5.0999999999999979</v>
      </c>
      <c r="Q22" s="212">
        <f>Q8+'実効温度差（ETD)諸言'!$G$38</f>
        <v>5.0999999999999979</v>
      </c>
      <c r="R22" s="215">
        <f>R8+'実効温度差（ETD)諸言'!$G$38</f>
        <v>6.0999999999999979</v>
      </c>
      <c r="S22" s="214">
        <f>S8+'実効温度差（ETD)諸言'!$G$38</f>
        <v>6.0999999999999979</v>
      </c>
      <c r="T22" s="211">
        <f>T8+'実効温度差（ETD)諸言'!$G$38</f>
        <v>6.0999999999999979</v>
      </c>
      <c r="U22" s="211">
        <f>U8+'実効温度差（ETD)諸言'!$G$38</f>
        <v>7.0999999999999979</v>
      </c>
      <c r="V22" s="211">
        <f>V8+'実効温度差（ETD)諸言'!$G$38</f>
        <v>7.0999999999999979</v>
      </c>
      <c r="W22" s="211">
        <f>W8+'実効温度差（ETD)諸言'!$G$38</f>
        <v>7.0999999999999979</v>
      </c>
      <c r="X22" s="211">
        <f>X8+'実効温度差（ETD)諸言'!$G$38</f>
        <v>6.0999999999999979</v>
      </c>
      <c r="Y22" s="193">
        <v>0</v>
      </c>
      <c r="Z22" s="193">
        <v>0</v>
      </c>
      <c r="AA22" s="193">
        <v>0</v>
      </c>
    </row>
    <row r="23" spans="2:27">
      <c r="B23" s="1620"/>
      <c r="C23" s="97" t="s">
        <v>143</v>
      </c>
      <c r="D23" s="151">
        <v>0</v>
      </c>
      <c r="E23" s="151">
        <v>0</v>
      </c>
      <c r="F23" s="151">
        <v>0</v>
      </c>
      <c r="G23" s="151">
        <v>0</v>
      </c>
      <c r="H23" s="98">
        <f>H9+'実効温度差（ETD)諸言'!$G$38</f>
        <v>2.0999999999999979</v>
      </c>
      <c r="I23" s="98">
        <f>I9+'実効温度差（ETD)諸言'!$G$38</f>
        <v>2.0999999999999979</v>
      </c>
      <c r="J23" s="98">
        <f>J9+'実効温度差（ETD)諸言'!$G$38</f>
        <v>3.0999999999999979</v>
      </c>
      <c r="K23" s="99">
        <f>K9+'実効温度差（ETD)諸言'!$G$38</f>
        <v>5.0999999999999979</v>
      </c>
      <c r="L23" s="102">
        <f>L9+'実効温度差（ETD)諸言'!$G$38</f>
        <v>7.0999999999999979</v>
      </c>
      <c r="M23" s="101">
        <f>M9+'実効温度差（ETD)諸言'!$G$38</f>
        <v>8.0999999999999979</v>
      </c>
      <c r="N23" s="99">
        <f>N9+'実効温度差（ETD)諸言'!$G$38</f>
        <v>9.0999999999999979</v>
      </c>
      <c r="O23" s="100">
        <f>O9+'実効温度差（ETD)諸言'!$G$38</f>
        <v>9.0999999999999979</v>
      </c>
      <c r="P23" s="101">
        <f>P9+'実効温度差（ETD)諸言'!$G$38</f>
        <v>9.0999999999999979</v>
      </c>
      <c r="Q23" s="99">
        <f>Q9+'実効温度差（ETD)諸言'!$G$38</f>
        <v>9.0999999999999979</v>
      </c>
      <c r="R23" s="100">
        <f>R9+'実効温度差（ETD)諸言'!$G$38</f>
        <v>9.0999999999999979</v>
      </c>
      <c r="S23" s="101">
        <f>S9+'実効温度差（ETD)諸言'!$G$38</f>
        <v>8.0999999999999979</v>
      </c>
      <c r="T23" s="98">
        <f>T9+'実効温度差（ETD)諸言'!$G$38</f>
        <v>8.0999999999999979</v>
      </c>
      <c r="U23" s="98">
        <f>U9+'実効温度差（ETD)諸言'!$G$38</f>
        <v>8.0999999999999979</v>
      </c>
      <c r="V23" s="98">
        <f>V9+'実効温度差（ETD)諸言'!$G$38</f>
        <v>7.0999999999999979</v>
      </c>
      <c r="W23" s="98">
        <f>W9+'実効温度差（ETD)諸言'!$G$38</f>
        <v>7.0999999999999979</v>
      </c>
      <c r="X23" s="98">
        <f>X9+'実効温度差（ETD)諸言'!$G$38</f>
        <v>6.0999999999999979</v>
      </c>
      <c r="Y23" s="151">
        <v>0</v>
      </c>
      <c r="Z23" s="151">
        <v>0</v>
      </c>
      <c r="AA23" s="151">
        <v>0</v>
      </c>
    </row>
    <row r="24" spans="2:27">
      <c r="B24" s="1620"/>
      <c r="C24" s="97" t="s">
        <v>144</v>
      </c>
      <c r="D24" s="151">
        <v>0</v>
      </c>
      <c r="E24" s="151">
        <v>0</v>
      </c>
      <c r="F24" s="151">
        <v>0</v>
      </c>
      <c r="G24" s="151">
        <v>0</v>
      </c>
      <c r="H24" s="98">
        <f>H10+'実効温度差（ETD)諸言'!$G$38</f>
        <v>2.0999999999999979</v>
      </c>
      <c r="I24" s="98">
        <f>I10+'実効温度差（ETD)諸言'!$G$38</f>
        <v>2.0999999999999979</v>
      </c>
      <c r="J24" s="98">
        <f>J10+'実効温度差（ETD)諸言'!$G$38</f>
        <v>3.0999999999999979</v>
      </c>
      <c r="K24" s="99">
        <f>K10+'実効温度差（ETD)諸言'!$G$38</f>
        <v>6.0999999999999979</v>
      </c>
      <c r="L24" s="102">
        <f>L10+'実効温度差（ETD)諸言'!$G$38</f>
        <v>8.0999999999999979</v>
      </c>
      <c r="M24" s="101">
        <f>M10+'実効温度差（ETD)諸言'!$G$38</f>
        <v>10.099999999999998</v>
      </c>
      <c r="N24" s="99">
        <f>N10+'実効温度差（ETD)諸言'!$G$38</f>
        <v>12.099999999999998</v>
      </c>
      <c r="O24" s="100">
        <f>O10+'実効温度差（ETD)諸言'!$G$38</f>
        <v>12.099999999999998</v>
      </c>
      <c r="P24" s="101">
        <f>P10+'実効温度差（ETD)諸言'!$G$38</f>
        <v>12.099999999999998</v>
      </c>
      <c r="Q24" s="99">
        <f>Q10+'実効温度差（ETD)諸言'!$G$38</f>
        <v>12.099999999999998</v>
      </c>
      <c r="R24" s="100">
        <f>R10+'実効温度差（ETD)諸言'!$G$38</f>
        <v>11.099999999999998</v>
      </c>
      <c r="S24" s="101">
        <f>S10+'実効温度差（ETD)諸言'!$G$38</f>
        <v>11.099999999999998</v>
      </c>
      <c r="T24" s="98">
        <f>T10+'実効温度差（ETD)諸言'!$G$38</f>
        <v>10.099999999999998</v>
      </c>
      <c r="U24" s="98">
        <f>U10+'実効温度差（ETD)諸言'!$G$38</f>
        <v>9.0999999999999979</v>
      </c>
      <c r="V24" s="98">
        <f>V10+'実効温度差（ETD)諸言'!$G$38</f>
        <v>9.0999999999999979</v>
      </c>
      <c r="W24" s="98">
        <f>W10+'実効温度差（ETD)諸言'!$G$38</f>
        <v>8.0999999999999979</v>
      </c>
      <c r="X24" s="98">
        <f>X10+'実効温度差（ETD)諸言'!$G$38</f>
        <v>7.0999999999999979</v>
      </c>
      <c r="Y24" s="151">
        <v>0</v>
      </c>
      <c r="Z24" s="151">
        <v>0</v>
      </c>
      <c r="AA24" s="151">
        <v>0</v>
      </c>
    </row>
    <row r="25" spans="2:27">
      <c r="B25" s="1620"/>
      <c r="C25" s="97" t="s">
        <v>145</v>
      </c>
      <c r="D25" s="151">
        <v>0</v>
      </c>
      <c r="E25" s="151">
        <v>0</v>
      </c>
      <c r="F25" s="151">
        <v>0</v>
      </c>
      <c r="G25" s="151">
        <v>0</v>
      </c>
      <c r="H25" s="98">
        <f>H11+'実効温度差（ETD)諸言'!$G$38</f>
        <v>2.0999999999999979</v>
      </c>
      <c r="I25" s="98">
        <f>I11+'実効温度差（ETD)諸言'!$G$38</f>
        <v>2.0999999999999979</v>
      </c>
      <c r="J25" s="98">
        <f>J11+'実効温度差（ETD)諸言'!$G$38</f>
        <v>3.0999999999999979</v>
      </c>
      <c r="K25" s="99">
        <f>K11+'実効温度差（ETD)諸言'!$G$38</f>
        <v>4.0999999999999979</v>
      </c>
      <c r="L25" s="102">
        <f>L11+'実効温度差（ETD)諸言'!$G$38</f>
        <v>6.0999999999999979</v>
      </c>
      <c r="M25" s="101">
        <f>M11+'実効温度差（ETD)諸言'!$G$38</f>
        <v>8.0999999999999979</v>
      </c>
      <c r="N25" s="99">
        <f>N11+'実効温度差（ETD)諸言'!$G$38</f>
        <v>9.0999999999999979</v>
      </c>
      <c r="O25" s="102">
        <f>O11+'実効温度差（ETD)諸言'!$G$38</f>
        <v>11.099999999999998</v>
      </c>
      <c r="P25" s="101">
        <f>P11+'実効温度差（ETD)諸言'!$G$38</f>
        <v>11.099999999999998</v>
      </c>
      <c r="Q25" s="99">
        <f>Q11+'実効温度差（ETD)諸言'!$G$38</f>
        <v>11.099999999999998</v>
      </c>
      <c r="R25" s="100">
        <f>R11+'実効温度差（ETD)諸言'!$G$38</f>
        <v>11.099999999999998</v>
      </c>
      <c r="S25" s="101">
        <f>S11+'実効温度差（ETD)諸言'!$G$38</f>
        <v>10.099999999999998</v>
      </c>
      <c r="T25" s="98">
        <f>T11+'実効温度差（ETD)諸言'!$G$38</f>
        <v>10.099999999999998</v>
      </c>
      <c r="U25" s="98">
        <f>U11+'実効温度差（ETD)諸言'!$G$38</f>
        <v>9.0999999999999979</v>
      </c>
      <c r="V25" s="98">
        <f>V11+'実効温度差（ETD)諸言'!$G$38</f>
        <v>8.0999999999999979</v>
      </c>
      <c r="W25" s="98">
        <f>W11+'実効温度差（ETD)諸言'!$G$38</f>
        <v>8.0999999999999979</v>
      </c>
      <c r="X25" s="98">
        <f>X11+'実効温度差（ETD)諸言'!$G$38</f>
        <v>7.0999999999999979</v>
      </c>
      <c r="Y25" s="151">
        <v>0</v>
      </c>
      <c r="Z25" s="151">
        <v>0</v>
      </c>
      <c r="AA25" s="151">
        <v>0</v>
      </c>
    </row>
    <row r="26" spans="2:27">
      <c r="B26" s="1620"/>
      <c r="C26" s="97" t="s">
        <v>146</v>
      </c>
      <c r="D26" s="151">
        <v>0</v>
      </c>
      <c r="E26" s="151">
        <v>0</v>
      </c>
      <c r="F26" s="151">
        <v>0</v>
      </c>
      <c r="G26" s="151">
        <v>0</v>
      </c>
      <c r="H26" s="98">
        <f>H12+'実効温度差（ETD)諸言'!$G$38</f>
        <v>2.0999999999999979</v>
      </c>
      <c r="I26" s="98">
        <f>I12+'実効温度差（ETD)諸言'!$G$38</f>
        <v>2.0999999999999979</v>
      </c>
      <c r="J26" s="98">
        <f>J12+'実効温度差（ETD)諸言'!$G$38</f>
        <v>1.0999999999999979</v>
      </c>
      <c r="K26" s="99">
        <f>K12+'実効温度差（ETD)諸言'!$G$38</f>
        <v>2.0999999999999979</v>
      </c>
      <c r="L26" s="100">
        <f>L12+'実効温度差（ETD)諸言'!$G$38</f>
        <v>2.0999999999999979</v>
      </c>
      <c r="M26" s="101">
        <f>M12+'実効温度差（ETD)諸言'!$G$38</f>
        <v>3.0999999999999979</v>
      </c>
      <c r="N26" s="99">
        <f>N12+'実効温度差（ETD)諸言'!$G$38</f>
        <v>4.0999999999999979</v>
      </c>
      <c r="O26" s="102">
        <f>O12+'実効温度差（ETD)諸言'!$G$38</f>
        <v>5.0999999999999979</v>
      </c>
      <c r="P26" s="101">
        <f>P12+'実効温度差（ETD)諸言'!$G$38</f>
        <v>7.0999999999999979</v>
      </c>
      <c r="Q26" s="99">
        <f>Q12+'実効温度差（ETD)諸言'!$G$38</f>
        <v>8.0999999999999979</v>
      </c>
      <c r="R26" s="100">
        <f>R12+'実効温度差（ETD)諸言'!$G$38</f>
        <v>9.0999999999999979</v>
      </c>
      <c r="S26" s="101">
        <f>S12+'実効温度差（ETD)諸言'!$G$38</f>
        <v>9.0999999999999979</v>
      </c>
      <c r="T26" s="98">
        <f>T12+'実効温度差（ETD)諸言'!$G$38</f>
        <v>9.0999999999999979</v>
      </c>
      <c r="U26" s="98">
        <f>U12+'実効温度差（ETD)諸言'!$G$38</f>
        <v>9.0999999999999979</v>
      </c>
      <c r="V26" s="98">
        <f>V12+'実効温度差（ETD)諸言'!$G$38</f>
        <v>8.0999999999999979</v>
      </c>
      <c r="W26" s="98">
        <f>W12+'実効温度差（ETD)諸言'!$G$38</f>
        <v>7.0999999999999979</v>
      </c>
      <c r="X26" s="98">
        <f>X12+'実効温度差（ETD)諸言'!$G$38</f>
        <v>7.0999999999999979</v>
      </c>
      <c r="Y26" s="151">
        <v>0</v>
      </c>
      <c r="Z26" s="151">
        <v>0</v>
      </c>
      <c r="AA26" s="151">
        <v>0</v>
      </c>
    </row>
    <row r="27" spans="2:27">
      <c r="B27" s="1620"/>
      <c r="C27" s="97" t="s">
        <v>147</v>
      </c>
      <c r="D27" s="151">
        <v>0</v>
      </c>
      <c r="E27" s="151">
        <v>0</v>
      </c>
      <c r="F27" s="151">
        <v>0</v>
      </c>
      <c r="G27" s="151">
        <v>0</v>
      </c>
      <c r="H27" s="98">
        <f>H13+'実効温度差（ETD)諸言'!$G$38</f>
        <v>3.0999999999999979</v>
      </c>
      <c r="I27" s="98">
        <f>I13+'実効温度差（ETD)諸言'!$G$38</f>
        <v>2.0999999999999979</v>
      </c>
      <c r="J27" s="98">
        <f>J13+'実効温度差（ETD)諸言'!$G$38</f>
        <v>2.0999999999999979</v>
      </c>
      <c r="K27" s="99">
        <f>K13+'実効温度差（ETD)諸言'!$G$38</f>
        <v>2.0999999999999979</v>
      </c>
      <c r="L27" s="100">
        <f>L13+'実効温度差（ETD)諸言'!$G$38</f>
        <v>2.0999999999999979</v>
      </c>
      <c r="M27" s="101">
        <f>M13+'実効温度差（ETD)諸言'!$G$38</f>
        <v>3.0999999999999979</v>
      </c>
      <c r="N27" s="99">
        <f>N13+'実効温度差（ETD)諸言'!$G$38</f>
        <v>3.0999999999999979</v>
      </c>
      <c r="O27" s="102">
        <f>O13+'実効温度差（ETD)諸言'!$G$38</f>
        <v>4.0999999999999979</v>
      </c>
      <c r="P27" s="101">
        <f>P13+'実効温度差（ETD)諸言'!$G$38</f>
        <v>5.0999999999999979</v>
      </c>
      <c r="Q27" s="99">
        <f>Q13+'実効温度差（ETD)諸言'!$G$38</f>
        <v>7.0999999999999979</v>
      </c>
      <c r="R27" s="102">
        <f>R13+'実効温度差（ETD)諸言'!$G$38</f>
        <v>9.0999999999999979</v>
      </c>
      <c r="S27" s="101">
        <f>S13+'実効温度差（ETD)諸言'!$G$38</f>
        <v>11.099999999999998</v>
      </c>
      <c r="T27" s="98">
        <f>T13+'実効温度差（ETD)諸言'!$G$38</f>
        <v>12.099999999999998</v>
      </c>
      <c r="U27" s="98">
        <f>U13+'実効温度差（ETD)諸言'!$G$38</f>
        <v>13.099999999999998</v>
      </c>
      <c r="V27" s="98">
        <f>V13+'実効温度差（ETD)諸言'!$G$38</f>
        <v>13.099999999999998</v>
      </c>
      <c r="W27" s="98">
        <f>W13+'実効温度差（ETD)諸言'!$G$38</f>
        <v>12.099999999999998</v>
      </c>
      <c r="X27" s="98">
        <f>X13+'実効温度差（ETD)諸言'!$G$38</f>
        <v>11.099999999999998</v>
      </c>
      <c r="Y27" s="151">
        <v>0</v>
      </c>
      <c r="Z27" s="151">
        <v>0</v>
      </c>
      <c r="AA27" s="151">
        <v>0</v>
      </c>
    </row>
    <row r="28" spans="2:27">
      <c r="B28" s="1620"/>
      <c r="C28" s="97" t="s">
        <v>148</v>
      </c>
      <c r="D28" s="151">
        <v>0</v>
      </c>
      <c r="E28" s="151">
        <v>0</v>
      </c>
      <c r="F28" s="151">
        <v>0</v>
      </c>
      <c r="G28" s="151">
        <v>0</v>
      </c>
      <c r="H28" s="98">
        <f>H14+'実効温度差（ETD)諸言'!$G$38</f>
        <v>3.0999999999999979</v>
      </c>
      <c r="I28" s="98">
        <f>I14+'実効温度差（ETD)諸言'!$G$38</f>
        <v>3.0999999999999979</v>
      </c>
      <c r="J28" s="98">
        <f>J14+'実効温度差（ETD)諸言'!$G$38</f>
        <v>2.0999999999999979</v>
      </c>
      <c r="K28" s="99">
        <f>K14+'実効温度差（ETD)諸言'!$G$38</f>
        <v>2.0999999999999979</v>
      </c>
      <c r="L28" s="100">
        <f>L14+'実効温度差（ETD)諸言'!$G$38</f>
        <v>2.0999999999999979</v>
      </c>
      <c r="M28" s="101">
        <f>M14+'実効温度差（ETD)諸言'!$G$38</f>
        <v>3.0999999999999979</v>
      </c>
      <c r="N28" s="99">
        <f>N14+'実効温度差（ETD)諸言'!$G$38</f>
        <v>3.0999999999999979</v>
      </c>
      <c r="O28" s="100">
        <f>O14+'実効温度差（ETD)諸言'!$G$38</f>
        <v>4.0999999999999979</v>
      </c>
      <c r="P28" s="101">
        <f>P14+'実効温度差（ETD)諸言'!$G$38</f>
        <v>5.0999999999999979</v>
      </c>
      <c r="Q28" s="99">
        <f>Q14+'実効温度差（ETD)諸言'!$G$38</f>
        <v>6.0999999999999979</v>
      </c>
      <c r="R28" s="102">
        <f>R14+'実効温度差（ETD)諸言'!$G$38</f>
        <v>8.0999999999999979</v>
      </c>
      <c r="S28" s="101">
        <f>S14+'実効温度差（ETD)諸言'!$G$38</f>
        <v>11.099999999999998</v>
      </c>
      <c r="T28" s="98">
        <f>T14+'実効温度差（ETD)諸言'!$G$38</f>
        <v>13.099999999999998</v>
      </c>
      <c r="U28" s="98">
        <f>U14+'実効温度差（ETD)諸言'!$G$38</f>
        <v>15.099999999999998</v>
      </c>
      <c r="V28" s="98">
        <f>V14+'実効温度差（ETD)諸言'!$G$38</f>
        <v>15.099999999999998</v>
      </c>
      <c r="W28" s="98">
        <f>W14+'実効温度差（ETD)諸言'!$G$38</f>
        <v>15.099999999999998</v>
      </c>
      <c r="X28" s="98">
        <f>X14+'実効温度差（ETD)諸言'!$G$38</f>
        <v>13.099999999999998</v>
      </c>
      <c r="Y28" s="151">
        <v>0</v>
      </c>
      <c r="Z28" s="151">
        <v>0</v>
      </c>
      <c r="AA28" s="151">
        <v>0</v>
      </c>
    </row>
    <row r="29" spans="2:27" ht="14.25" thickBot="1">
      <c r="B29" s="1620"/>
      <c r="C29" s="97" t="s">
        <v>149</v>
      </c>
      <c r="D29" s="151">
        <v>0</v>
      </c>
      <c r="E29" s="151">
        <v>0</v>
      </c>
      <c r="F29" s="151">
        <v>0</v>
      </c>
      <c r="G29" s="151">
        <v>0</v>
      </c>
      <c r="H29" s="98">
        <f>H15+'実効温度差（ETD)諸言'!$G$38</f>
        <v>3.0999999999999979</v>
      </c>
      <c r="I29" s="98">
        <f>I15+'実効温度差（ETD)諸言'!$G$38</f>
        <v>2.0999999999999979</v>
      </c>
      <c r="J29" s="98">
        <f>J15+'実効温度差（ETD)諸言'!$G$38</f>
        <v>2.0999999999999979</v>
      </c>
      <c r="K29" s="99">
        <f>K15+'実効温度差（ETD)諸言'!$G$38</f>
        <v>2.0999999999999979</v>
      </c>
      <c r="L29" s="103">
        <f>L15+'実効温度差（ETD)諸言'!$G$38</f>
        <v>2.0999999999999979</v>
      </c>
      <c r="M29" s="101">
        <f>M15+'実効温度差（ETD)諸言'!$G$38</f>
        <v>3.0999999999999979</v>
      </c>
      <c r="N29" s="99">
        <f>N15+'実効温度差（ETD)諸言'!$G$38</f>
        <v>3.0999999999999979</v>
      </c>
      <c r="O29" s="103">
        <f>O15+'実効温度差（ETD)諸言'!$G$38</f>
        <v>4.0999999999999979</v>
      </c>
      <c r="P29" s="101">
        <f>P15+'実効温度差（ETD)諸言'!$G$38</f>
        <v>4.0999999999999979</v>
      </c>
      <c r="Q29" s="99">
        <f>Q15+'実効温度差（ETD)諸言'!$G$38</f>
        <v>5.0999999999999979</v>
      </c>
      <c r="R29" s="104">
        <f>R15+'実効温度差（ETD)諸言'!$G$38</f>
        <v>6.0999999999999979</v>
      </c>
      <c r="S29" s="101">
        <f>S15+'実効温度差（ETD)諸言'!$G$38</f>
        <v>8.0999999999999979</v>
      </c>
      <c r="T29" s="98">
        <f>T15+'実効温度差（ETD)諸言'!$G$38</f>
        <v>10.099999999999998</v>
      </c>
      <c r="U29" s="98">
        <f>U15+'実効温度差（ETD)諸言'!$G$38</f>
        <v>11.099999999999998</v>
      </c>
      <c r="V29" s="98">
        <f>V15+'実効温度差（ETD)諸言'!$G$38</f>
        <v>12.099999999999998</v>
      </c>
      <c r="W29" s="98">
        <f>W15+'実効温度差（ETD)諸言'!$G$38</f>
        <v>12.099999999999998</v>
      </c>
      <c r="X29" s="98">
        <f>X15+'実効温度差（ETD)諸言'!$G$38</f>
        <v>11.099999999999998</v>
      </c>
      <c r="Y29" s="151">
        <v>0</v>
      </c>
      <c r="Z29" s="151">
        <v>0</v>
      </c>
      <c r="AA29" s="151">
        <v>0</v>
      </c>
    </row>
    <row r="30" spans="2:27">
      <c r="B30" s="89" t="s">
        <v>150</v>
      </c>
    </row>
    <row r="32" spans="2:27">
      <c r="J32" s="105">
        <f>AVERAGE(J20:J29)</f>
        <v>2.3999999999999977</v>
      </c>
      <c r="K32" s="105">
        <f>AVERAGE(K20:K29)</f>
        <v>3.199999999999998</v>
      </c>
      <c r="L32" s="106">
        <f>AVERAGE(L20:L29)</f>
        <v>4.099999999999997</v>
      </c>
      <c r="M32" s="105">
        <f t="shared" ref="M32:U32" si="0">AVERAGE(M20:M29)</f>
        <v>5.1999999999999975</v>
      </c>
      <c r="N32" s="105">
        <f t="shared" si="0"/>
        <v>6.0999999999999961</v>
      </c>
      <c r="O32" s="106">
        <f>AVERAGE(O20:O29)</f>
        <v>7.1999999999999957</v>
      </c>
      <c r="P32" s="105">
        <f t="shared" si="0"/>
        <v>8.0999999999999961</v>
      </c>
      <c r="Q32" s="105">
        <f t="shared" si="0"/>
        <v>8.7999999999999954</v>
      </c>
      <c r="R32" s="106">
        <f t="shared" si="0"/>
        <v>9.6999999999999957</v>
      </c>
      <c r="S32" s="105">
        <f t="shared" si="0"/>
        <v>10.299999999999995</v>
      </c>
      <c r="T32" s="105">
        <f t="shared" si="0"/>
        <v>10.799999999999995</v>
      </c>
      <c r="U32" s="105">
        <f t="shared" si="0"/>
        <v>10.999999999999996</v>
      </c>
    </row>
    <row r="40" spans="2:27">
      <c r="B40" s="261" t="s">
        <v>151</v>
      </c>
    </row>
    <row r="41" spans="2:27">
      <c r="B41" s="108" t="s">
        <v>152</v>
      </c>
    </row>
    <row r="42" spans="2:27" ht="14.25" thickBot="1">
      <c r="B42" s="1622" t="s">
        <v>138</v>
      </c>
      <c r="C42" s="1622" t="s">
        <v>50</v>
      </c>
      <c r="D42" s="1622" t="s">
        <v>139</v>
      </c>
      <c r="E42" s="1622"/>
      <c r="F42" s="1622"/>
      <c r="G42" s="1622"/>
      <c r="H42" s="1622"/>
      <c r="I42" s="1622"/>
      <c r="J42" s="1622"/>
      <c r="K42" s="1622"/>
      <c r="L42" s="1623"/>
      <c r="M42" s="1622"/>
      <c r="N42" s="1622"/>
      <c r="O42" s="1623"/>
      <c r="P42" s="1622"/>
      <c r="Q42" s="1622"/>
      <c r="R42" s="1623"/>
      <c r="S42" s="1622"/>
      <c r="T42" s="1622"/>
      <c r="U42" s="1622"/>
      <c r="V42" s="1622"/>
      <c r="W42" s="1622"/>
      <c r="X42" s="1622"/>
      <c r="Y42" s="1622"/>
      <c r="Z42" s="1622"/>
      <c r="AA42" s="1622"/>
    </row>
    <row r="43" spans="2:27">
      <c r="B43" s="1622"/>
      <c r="C43" s="1622"/>
      <c r="D43" s="151">
        <v>1</v>
      </c>
      <c r="E43" s="151">
        <v>2</v>
      </c>
      <c r="F43" s="151">
        <v>3</v>
      </c>
      <c r="G43" s="151">
        <v>4</v>
      </c>
      <c r="H43" s="90">
        <v>5</v>
      </c>
      <c r="I43" s="90">
        <v>6</v>
      </c>
      <c r="J43" s="90">
        <v>7</v>
      </c>
      <c r="K43" s="179">
        <v>8</v>
      </c>
      <c r="L43" s="183">
        <v>9</v>
      </c>
      <c r="M43" s="181">
        <v>10</v>
      </c>
      <c r="N43" s="179">
        <v>11</v>
      </c>
      <c r="O43" s="183">
        <v>12</v>
      </c>
      <c r="P43" s="181">
        <v>13</v>
      </c>
      <c r="Q43" s="179">
        <v>14</v>
      </c>
      <c r="R43" s="183">
        <v>15</v>
      </c>
      <c r="S43" s="181">
        <v>16</v>
      </c>
      <c r="T43" s="90">
        <v>17</v>
      </c>
      <c r="U43" s="90">
        <v>18</v>
      </c>
      <c r="V43" s="90">
        <v>19</v>
      </c>
      <c r="W43" s="90">
        <v>20</v>
      </c>
      <c r="X43" s="90">
        <v>21</v>
      </c>
      <c r="Y43" s="151">
        <v>22</v>
      </c>
      <c r="Z43" s="151">
        <v>23</v>
      </c>
      <c r="AA43" s="151">
        <v>24</v>
      </c>
    </row>
    <row r="44" spans="2:27" ht="14.25" thickBot="1">
      <c r="B44" s="1622" t="s">
        <v>188</v>
      </c>
      <c r="C44" s="186" t="s">
        <v>140</v>
      </c>
      <c r="D44" s="187">
        <v>0</v>
      </c>
      <c r="E44" s="187">
        <v>0</v>
      </c>
      <c r="F44" s="187">
        <v>0</v>
      </c>
      <c r="G44" s="187">
        <v>0</v>
      </c>
      <c r="H44" s="188">
        <f>H6</f>
        <v>2</v>
      </c>
      <c r="I44" s="188">
        <f t="shared" ref="I44:X44" si="1">I6</f>
        <v>2</v>
      </c>
      <c r="J44" s="188">
        <f t="shared" si="1"/>
        <v>2</v>
      </c>
      <c r="K44" s="189">
        <f t="shared" si="1"/>
        <v>2</v>
      </c>
      <c r="L44" s="190">
        <f t="shared" si="1"/>
        <v>2</v>
      </c>
      <c r="M44" s="191">
        <f t="shared" si="1"/>
        <v>2</v>
      </c>
      <c r="N44" s="189">
        <f t="shared" si="1"/>
        <v>3</v>
      </c>
      <c r="O44" s="190">
        <f t="shared" si="1"/>
        <v>3</v>
      </c>
      <c r="P44" s="191">
        <f t="shared" si="1"/>
        <v>4</v>
      </c>
      <c r="Q44" s="189">
        <f t="shared" si="1"/>
        <v>4</v>
      </c>
      <c r="R44" s="190">
        <f t="shared" si="1"/>
        <v>5</v>
      </c>
      <c r="S44" s="191">
        <f t="shared" si="1"/>
        <v>5</v>
      </c>
      <c r="T44" s="188">
        <f t="shared" si="1"/>
        <v>6</v>
      </c>
      <c r="U44" s="188">
        <f t="shared" si="1"/>
        <v>6</v>
      </c>
      <c r="V44" s="188">
        <f t="shared" si="1"/>
        <v>6</v>
      </c>
      <c r="W44" s="188">
        <f t="shared" si="1"/>
        <v>5</v>
      </c>
      <c r="X44" s="188">
        <f t="shared" si="1"/>
        <v>5</v>
      </c>
      <c r="Y44" s="187">
        <v>0</v>
      </c>
      <c r="Z44" s="187">
        <v>0</v>
      </c>
      <c r="AA44" s="187">
        <v>0</v>
      </c>
    </row>
    <row r="45" spans="2:27" ht="14.25" thickBot="1">
      <c r="B45" s="1624"/>
      <c r="C45" s="198" t="s">
        <v>141</v>
      </c>
      <c r="D45" s="199">
        <v>0</v>
      </c>
      <c r="E45" s="199">
        <v>0</v>
      </c>
      <c r="F45" s="199">
        <v>0</v>
      </c>
      <c r="G45" s="199">
        <v>0</v>
      </c>
      <c r="H45" s="200">
        <f>(入力!$D$69/0.7)*(H7-$H$6)+$H$6</f>
        <v>5</v>
      </c>
      <c r="I45" s="200">
        <f>(入力!D69/0.7)*(I7-$I$6)+$I$6</f>
        <v>4</v>
      </c>
      <c r="J45" s="200">
        <f>(入力!D69/0.7)*(J7-$J$6)+$J$6</f>
        <v>5</v>
      </c>
      <c r="K45" s="201">
        <f>(入力!D69/0.7)*(K7-$K$6)+$K$6</f>
        <v>6</v>
      </c>
      <c r="L45" s="202">
        <f>(入力!D69/0.7)*(L7-$L$6)+$L$6</f>
        <v>8</v>
      </c>
      <c r="M45" s="203">
        <f>(入力!D69/0.7)*(M7-$M$6)+$M$6</f>
        <v>10</v>
      </c>
      <c r="N45" s="201">
        <f>(入力!D69/0.7)*(N7-$N$6)+$N$6</f>
        <v>13</v>
      </c>
      <c r="O45" s="202">
        <f>(入力!D69/0.7)*(O7-$O$6)+$O$6</f>
        <v>17</v>
      </c>
      <c r="P45" s="203">
        <f>(入力!D69/0.7)*(P7-$P$6)+$P$6</f>
        <v>20</v>
      </c>
      <c r="Q45" s="201">
        <f>(入力!D69/0.7)*(Q7-$Q$6)+$Q$6</f>
        <v>22</v>
      </c>
      <c r="R45" s="202">
        <f>(入力!D69/0.7)*(R7-$R$6)+$R$6</f>
        <v>24</v>
      </c>
      <c r="S45" s="203">
        <f>(入力!D69/0.7)*(S7-$S$6)+$S$6</f>
        <v>25</v>
      </c>
      <c r="T45" s="200">
        <f>(入力!D69/0.7)*(T7-$T$6)+$T$6</f>
        <v>25</v>
      </c>
      <c r="U45" s="200">
        <f>(入力!D69/0.7)*(U7-$U$6)+$U$6</f>
        <v>24</v>
      </c>
      <c r="V45" s="200">
        <f>(入力!D69/0.7)*(V7-$V$6)+$V$6</f>
        <v>22</v>
      </c>
      <c r="W45" s="200">
        <f>(入力!D69/0.7)*(W7-$W$6)+$W$6</f>
        <v>20</v>
      </c>
      <c r="X45" s="200">
        <f>(入力!D69/0.7)*(X7-$X$6)+$X$6</f>
        <v>17</v>
      </c>
      <c r="Y45" s="199">
        <v>0</v>
      </c>
      <c r="Z45" s="199">
        <v>0</v>
      </c>
      <c r="AA45" s="204">
        <v>0</v>
      </c>
    </row>
    <row r="46" spans="2:27">
      <c r="B46" s="1622"/>
      <c r="C46" s="192" t="s">
        <v>142</v>
      </c>
      <c r="D46" s="193">
        <v>0</v>
      </c>
      <c r="E46" s="193">
        <v>0</v>
      </c>
      <c r="F46" s="193">
        <v>0</v>
      </c>
      <c r="G46" s="193">
        <v>0</v>
      </c>
      <c r="H46" s="194">
        <f>(入力!D91/0.7)*(H8-$H$6)+$H$6</f>
        <v>3</v>
      </c>
      <c r="I46" s="194">
        <f>(入力!D91/0.7)*(I8-$I$6)+$I$6</f>
        <v>3</v>
      </c>
      <c r="J46" s="194">
        <f>(入力!D91/0.7)*(J8-$J$6)+$J$6</f>
        <v>3</v>
      </c>
      <c r="K46" s="195">
        <f>(入力!D91/0.7)*(K8-$K$6)+$K$6</f>
        <v>3</v>
      </c>
      <c r="L46" s="196">
        <f>(入力!D91/0.7)*(L8-$L$6)+$L$6</f>
        <v>4</v>
      </c>
      <c r="M46" s="197">
        <f>(入力!D91/0.7)*(M8-$M$6)+$M$6</f>
        <v>4</v>
      </c>
      <c r="N46" s="195">
        <f>(入力!D91/0.7)*(N8-$N$6)+$N$6</f>
        <v>4</v>
      </c>
      <c r="O46" s="196">
        <f>(入力!D91/0.7)*(O8-$O$6)+$O$6</f>
        <v>5</v>
      </c>
      <c r="P46" s="197">
        <f>(入力!D91/0.7)*(P8-$P$6)+$P$6</f>
        <v>6</v>
      </c>
      <c r="Q46" s="195">
        <f>(入力!D91/0.7)*(Q8-$Q$6)+$Q$6</f>
        <v>6</v>
      </c>
      <c r="R46" s="196">
        <f>(入力!D91/0.7)*(R8-$R$6)+$R$6</f>
        <v>7</v>
      </c>
      <c r="S46" s="197">
        <f>(入力!D91/0.7)*(S8-$S$6)+$S$6</f>
        <v>7</v>
      </c>
      <c r="T46" s="194">
        <f>(入力!D91/0.7)*(T8-$T$6)+$T$6</f>
        <v>7</v>
      </c>
      <c r="U46" s="194">
        <f>(入力!D91/0.7)*(U8-$U$6)+$U$6</f>
        <v>8</v>
      </c>
      <c r="V46" s="194">
        <f>(入力!D91/0.7)*(V8-$V$6)+$V$6</f>
        <v>8</v>
      </c>
      <c r="W46" s="194">
        <f>(入力!D91/0.7)*(W8-$W$6)+$W$6</f>
        <v>8</v>
      </c>
      <c r="X46" s="194">
        <f>(入力!D91/0.7)*(X8-$X$6)+$X$6</f>
        <v>7</v>
      </c>
      <c r="Y46" s="193">
        <v>0</v>
      </c>
      <c r="Z46" s="193">
        <v>0</v>
      </c>
      <c r="AA46" s="193">
        <v>0</v>
      </c>
    </row>
    <row r="47" spans="2:27">
      <c r="B47" s="1622"/>
      <c r="C47" s="90" t="s">
        <v>143</v>
      </c>
      <c r="D47" s="151">
        <v>0</v>
      </c>
      <c r="E47" s="151">
        <v>0</v>
      </c>
      <c r="F47" s="151">
        <v>0</v>
      </c>
      <c r="G47" s="151">
        <v>0</v>
      </c>
      <c r="H47" s="109">
        <f>(入力!D92/0.7)*(H9-$H$6)+$H$6</f>
        <v>3</v>
      </c>
      <c r="I47" s="109">
        <f>(入力!D92/0.7)*(I9-$I$6)+$I$6</f>
        <v>3</v>
      </c>
      <c r="J47" s="109">
        <f>(入力!D92/0.7)*(J9-$J$6)+$J$6</f>
        <v>4</v>
      </c>
      <c r="K47" s="180">
        <f>(入力!D92/0.7)*(K9-$K$6)+$K$6</f>
        <v>6</v>
      </c>
      <c r="L47" s="184">
        <f>(入力!D92/0.7)*(L9-$L$6)+$L$6</f>
        <v>8</v>
      </c>
      <c r="M47" s="182">
        <f>(入力!D92/0.7)*(M9-$M$6)+$M$6</f>
        <v>9</v>
      </c>
      <c r="N47" s="180">
        <f>(入力!D92/0.7)*(N9-$N$6)+$N$6</f>
        <v>10</v>
      </c>
      <c r="O47" s="184">
        <f>(入力!D92/0.7)*(O9-$O$6)+$O$6</f>
        <v>10</v>
      </c>
      <c r="P47" s="182">
        <f>(入力!D92/0.7)*(P9-$P$6)+$P$6</f>
        <v>10</v>
      </c>
      <c r="Q47" s="180">
        <f>(入力!D92/0.7)*(Q9-$Q$6)+$Q$6</f>
        <v>10</v>
      </c>
      <c r="R47" s="184">
        <f>(入力!D92/0.7)*(R9-$R$6)+$R$6</f>
        <v>10</v>
      </c>
      <c r="S47" s="182">
        <f>(入力!D92/0.7)*(S9-$S$6)+$S$6</f>
        <v>9</v>
      </c>
      <c r="T47" s="109">
        <f>(入力!D92/0.7)*(T9-$T$6)+$T$6</f>
        <v>9</v>
      </c>
      <c r="U47" s="109">
        <f>(入力!D92/0.7)*(U9-$U$6)+$U$6</f>
        <v>9</v>
      </c>
      <c r="V47" s="109">
        <f>(入力!D92/0.7)*(V9-$V$6)+$V$6</f>
        <v>8</v>
      </c>
      <c r="W47" s="109">
        <f>(入力!D92/0.7)*(W9-$W$6)+$W$6</f>
        <v>8</v>
      </c>
      <c r="X47" s="109">
        <f>(入力!D92/0.7)*(X9-$X$6)+$X$6</f>
        <v>7</v>
      </c>
      <c r="Y47" s="151">
        <v>0</v>
      </c>
      <c r="Z47" s="151">
        <v>0</v>
      </c>
      <c r="AA47" s="151">
        <v>0</v>
      </c>
    </row>
    <row r="48" spans="2:27">
      <c r="B48" s="1622"/>
      <c r="C48" s="90" t="s">
        <v>144</v>
      </c>
      <c r="D48" s="151">
        <v>0</v>
      </c>
      <c r="E48" s="151">
        <v>0</v>
      </c>
      <c r="F48" s="151">
        <v>0</v>
      </c>
      <c r="G48" s="151">
        <v>0</v>
      </c>
      <c r="H48" s="109">
        <f>(入力!D93/0.7)*(H10-$H$6)+$H$6</f>
        <v>3</v>
      </c>
      <c r="I48" s="109">
        <f>(入力!D93/0.7)*(I10-$I$6)+$I$6</f>
        <v>3</v>
      </c>
      <c r="J48" s="109">
        <f>(入力!D93/0.7)*(J10-$J$6)+$J$6</f>
        <v>4</v>
      </c>
      <c r="K48" s="180">
        <f>(入力!D93/0.7)*(K10-$K$6)+$K$6</f>
        <v>7</v>
      </c>
      <c r="L48" s="184">
        <f>(入力!D93/0.7)*(L10-$L$6)+$L$6</f>
        <v>9</v>
      </c>
      <c r="M48" s="182">
        <f>(入力!D93/0.7)*(M10-$M$6)+$M$6</f>
        <v>11</v>
      </c>
      <c r="N48" s="180">
        <f>(入力!D93/0.7)*(N10-$N$6)+$N$6</f>
        <v>13</v>
      </c>
      <c r="O48" s="184">
        <f>(入力!D93/0.7)*(O10-$O$6)+$O$6</f>
        <v>13</v>
      </c>
      <c r="P48" s="182">
        <f>(入力!D93/0.7)*(P10-$P$6)+$P$6</f>
        <v>13</v>
      </c>
      <c r="Q48" s="180">
        <f>(入力!D93/0.7)*(Q10-$Q$6)+$Q$6</f>
        <v>13</v>
      </c>
      <c r="R48" s="184">
        <f>(入力!D93/0.7)*(R10-$R$6)+$R$6</f>
        <v>12</v>
      </c>
      <c r="S48" s="182">
        <f>(入力!D93/0.7)*(S10-$S$6)+$S$6</f>
        <v>12</v>
      </c>
      <c r="T48" s="109">
        <f>(入力!D93/0.7)*(T10-$T$6)+$T$6</f>
        <v>11</v>
      </c>
      <c r="U48" s="109">
        <f>(入力!D93/0.7)*(U10-$U$6)+$U$6</f>
        <v>10</v>
      </c>
      <c r="V48" s="109">
        <f>(入力!D93/0.7)*(V10-$V$6)+$V$6</f>
        <v>10</v>
      </c>
      <c r="W48" s="109">
        <f>(入力!D93/0.7)*(W10-$W$6)+$W$6</f>
        <v>9</v>
      </c>
      <c r="X48" s="109">
        <f>(入力!D93/0.7)*(X10-$X$6)+$X$6</f>
        <v>8</v>
      </c>
      <c r="Y48" s="151">
        <v>0</v>
      </c>
      <c r="Z48" s="151">
        <v>0</v>
      </c>
      <c r="AA48" s="151">
        <v>0</v>
      </c>
    </row>
    <row r="49" spans="2:27">
      <c r="B49" s="1622"/>
      <c r="C49" s="90" t="s">
        <v>145</v>
      </c>
      <c r="D49" s="151">
        <v>0</v>
      </c>
      <c r="E49" s="151">
        <v>0</v>
      </c>
      <c r="F49" s="151">
        <v>0</v>
      </c>
      <c r="G49" s="151">
        <v>0</v>
      </c>
      <c r="H49" s="109">
        <f>(入力!D94/0.7)*(H11-$H$6)+$H$6</f>
        <v>3</v>
      </c>
      <c r="I49" s="109">
        <f>(入力!D94/0.7)*(I11-$I$6)+$I$6</f>
        <v>3</v>
      </c>
      <c r="J49" s="109">
        <f>(入力!D94/0.7)*(J11-$J$6)+$J$6</f>
        <v>4</v>
      </c>
      <c r="K49" s="180">
        <f>(入力!D94/0.7)*(K11-$K$6)+$K$6</f>
        <v>5</v>
      </c>
      <c r="L49" s="184">
        <f>(入力!D94/0.7)*(L11-$L$6)+$L$6</f>
        <v>7</v>
      </c>
      <c r="M49" s="182">
        <f>(入力!D94/0.7)*(M11-$M$6)+$M$6</f>
        <v>9</v>
      </c>
      <c r="N49" s="180">
        <f>(入力!D94/0.7)*(N11-$N$6)+$N$6</f>
        <v>10</v>
      </c>
      <c r="O49" s="184">
        <f>(入力!D94/0.7)*(O11-$O$6)+$O$6</f>
        <v>12</v>
      </c>
      <c r="P49" s="182">
        <f>(入力!D94/0.7)*(P11-$P$6)+$P$6</f>
        <v>12</v>
      </c>
      <c r="Q49" s="180">
        <f>(入力!D94/0.7)*(Q11-$Q$6)+$Q$6</f>
        <v>12</v>
      </c>
      <c r="R49" s="184">
        <f>(入力!D94/0.7)*(R11-$R$6)+$R$6</f>
        <v>12</v>
      </c>
      <c r="S49" s="182">
        <f>(入力!D94/0.7)*(S11-$S$6)+$S$6</f>
        <v>11</v>
      </c>
      <c r="T49" s="109">
        <f>(入力!D94/0.7)*(T11-$T$6)+$T$6</f>
        <v>11</v>
      </c>
      <c r="U49" s="109">
        <f>(入力!D94/0.7)*(U11-$U$6)+$U$6</f>
        <v>10</v>
      </c>
      <c r="V49" s="109">
        <f>(入力!D94/0.7)*(V11-$V$6)+$V$6</f>
        <v>9</v>
      </c>
      <c r="W49" s="109">
        <f>(入力!D94/0.7)*(W11-$W$6)+$W$6</f>
        <v>9</v>
      </c>
      <c r="X49" s="109">
        <f>(入力!D94/0.7)*(X11-$X$6)+$X$6</f>
        <v>8</v>
      </c>
      <c r="Y49" s="151">
        <v>0</v>
      </c>
      <c r="Z49" s="151">
        <v>0</v>
      </c>
      <c r="AA49" s="151">
        <v>0</v>
      </c>
    </row>
    <row r="50" spans="2:27">
      <c r="B50" s="1622"/>
      <c r="C50" s="90" t="s">
        <v>146</v>
      </c>
      <c r="D50" s="151">
        <v>0</v>
      </c>
      <c r="E50" s="151">
        <v>0</v>
      </c>
      <c r="F50" s="151">
        <v>0</v>
      </c>
      <c r="G50" s="151">
        <v>0</v>
      </c>
      <c r="H50" s="109">
        <f>(入力!D95/0.7)*(H12-$H$6)+$H$6</f>
        <v>3</v>
      </c>
      <c r="I50" s="109">
        <f>(入力!D95/0.7)*(I12-$I$6)+$I$6</f>
        <v>3</v>
      </c>
      <c r="J50" s="109">
        <f>(入力!D95/0.7)*(J12-$J$6)+$J$6</f>
        <v>2</v>
      </c>
      <c r="K50" s="180">
        <f>(入力!D95/0.7)*(K12-$K$6)+$K$6</f>
        <v>3</v>
      </c>
      <c r="L50" s="184">
        <f>(入力!D95/0.7)*(L12-$L$6)+$L$6</f>
        <v>3</v>
      </c>
      <c r="M50" s="182">
        <f>(入力!D95/0.7)*(M12-$M$6)+$M$6</f>
        <v>4</v>
      </c>
      <c r="N50" s="180">
        <f>(入力!D95/0.7)*(N12-$N$6)+$N$6</f>
        <v>5</v>
      </c>
      <c r="O50" s="184">
        <f>(入力!D95/0.7)*(O12-$O$6)+$O$6</f>
        <v>6</v>
      </c>
      <c r="P50" s="182">
        <f>(入力!D95/0.7)*(P12-$P$6)+$P$6</f>
        <v>8</v>
      </c>
      <c r="Q50" s="180">
        <f>(入力!D95/0.7)*(Q12-$Q$6)+$Q$6</f>
        <v>9</v>
      </c>
      <c r="R50" s="184">
        <f>(入力!D95/0.7)*(R12-$R$6)+$R$6</f>
        <v>10</v>
      </c>
      <c r="S50" s="182">
        <f>(入力!D95/0.7)*(S12-$S$6)+$S$6</f>
        <v>10</v>
      </c>
      <c r="T50" s="109">
        <f>(入力!D95/0.7)*(T12-$T$6)+$T$6</f>
        <v>10</v>
      </c>
      <c r="U50" s="109">
        <f>(入力!D95/0.7)*(U12-$U$6)+$U$6</f>
        <v>10</v>
      </c>
      <c r="V50" s="109">
        <f>(入力!D95/0.7)*(V12-$V$6)+$V$6</f>
        <v>9</v>
      </c>
      <c r="W50" s="109">
        <f>(入力!D95/0.7)*(W12-$W$6)+$W$6</f>
        <v>8</v>
      </c>
      <c r="X50" s="109">
        <f>(入力!D95/0.7)*(X12-$X$6)+$X$6</f>
        <v>8</v>
      </c>
      <c r="Y50" s="151">
        <v>0</v>
      </c>
      <c r="Z50" s="151">
        <v>0</v>
      </c>
      <c r="AA50" s="151">
        <v>0</v>
      </c>
    </row>
    <row r="51" spans="2:27">
      <c r="B51" s="1622"/>
      <c r="C51" s="90" t="s">
        <v>147</v>
      </c>
      <c r="D51" s="151">
        <v>0</v>
      </c>
      <c r="E51" s="151">
        <v>0</v>
      </c>
      <c r="F51" s="151">
        <v>0</v>
      </c>
      <c r="G51" s="151">
        <v>0</v>
      </c>
      <c r="H51" s="109">
        <f>(入力!D96/0.7)*(H13-$H$6)+$H$6</f>
        <v>4</v>
      </c>
      <c r="I51" s="109">
        <f>(入力!D96/0.7)*(I13-$I$6)+$I$6</f>
        <v>3</v>
      </c>
      <c r="J51" s="109">
        <f>(入力!D96/0.7)*(J13-$J$6)+$J$6</f>
        <v>3</v>
      </c>
      <c r="K51" s="180">
        <f>(入力!D96/0.7)*(K13-$K$6)+$K$6</f>
        <v>3</v>
      </c>
      <c r="L51" s="184">
        <f>(入力!D96/0.7)*(L13-$L$6)+$L$6</f>
        <v>3</v>
      </c>
      <c r="M51" s="182">
        <f>(入力!D96/0.7)*(M13-$M$6)+$M$6</f>
        <v>4</v>
      </c>
      <c r="N51" s="180">
        <f>(入力!D96/0.7)*(N13-$N$6)+$N$6</f>
        <v>4</v>
      </c>
      <c r="O51" s="184">
        <f>(入力!D96/0.7)*(O13-$O$6)+$O$6</f>
        <v>5</v>
      </c>
      <c r="P51" s="182">
        <f>(入力!D96/0.7)*(P13-$P$6)+$P$6</f>
        <v>6</v>
      </c>
      <c r="Q51" s="180">
        <f>(入力!D96/0.7)*(Q13-$Q$6)+$Q$6</f>
        <v>8</v>
      </c>
      <c r="R51" s="184">
        <f>(入力!D96/0.7)*(R13-$R$6)+$R$6</f>
        <v>10</v>
      </c>
      <c r="S51" s="182">
        <f>(入力!D96/0.7)*(S13-$S$6)+$S$6</f>
        <v>12</v>
      </c>
      <c r="T51" s="109">
        <f>(入力!D96/0.7)*(T13-$T$6)+$T$6</f>
        <v>13</v>
      </c>
      <c r="U51" s="109">
        <f>(入力!D96/0.7)*(U13-$U$6)+$U$6</f>
        <v>14</v>
      </c>
      <c r="V51" s="109">
        <f>(入力!D96/0.7)*(V13-$V$6)+$V$6</f>
        <v>14</v>
      </c>
      <c r="W51" s="109">
        <f>(入力!D96/0.7)*(W13-$W$6)+$W$6</f>
        <v>13</v>
      </c>
      <c r="X51" s="109">
        <f>(入力!D96/0.7)*(X13-$X$6)+$X$6</f>
        <v>12</v>
      </c>
      <c r="Y51" s="151">
        <v>0</v>
      </c>
      <c r="Z51" s="151">
        <v>0</v>
      </c>
      <c r="AA51" s="151">
        <v>0</v>
      </c>
    </row>
    <row r="52" spans="2:27">
      <c r="B52" s="1622"/>
      <c r="C52" s="90" t="s">
        <v>148</v>
      </c>
      <c r="D52" s="151">
        <v>0</v>
      </c>
      <c r="E52" s="151">
        <v>0</v>
      </c>
      <c r="F52" s="151">
        <v>0</v>
      </c>
      <c r="G52" s="151">
        <v>0</v>
      </c>
      <c r="H52" s="109">
        <f>(入力!D97/0.7)*(H14-$H$6)+$H$6</f>
        <v>4</v>
      </c>
      <c r="I52" s="109">
        <f>(入力!D97/0.7)*(I14-$I$6)+$I$6</f>
        <v>4</v>
      </c>
      <c r="J52" s="109">
        <f>(入力!D97/0.7)*(J14-$J$6)+$J$6</f>
        <v>3</v>
      </c>
      <c r="K52" s="180">
        <f>(入力!D97/0.7)*(K14-$K$6)+$K$6</f>
        <v>3</v>
      </c>
      <c r="L52" s="184">
        <f>(入力!D97/0.7)*(L14-$L$6)+$L$6</f>
        <v>3</v>
      </c>
      <c r="M52" s="182">
        <f>(入力!D97/0.7)*(M14-$M$6)+$M$6</f>
        <v>4</v>
      </c>
      <c r="N52" s="180">
        <f>(入力!D97/0.7)*(N14-$N$6)+$N$6</f>
        <v>4</v>
      </c>
      <c r="O52" s="184">
        <f>(入力!D97/0.7)*(O14-$O$6)+$O$6</f>
        <v>5</v>
      </c>
      <c r="P52" s="182">
        <f>(入力!D97/0.7)*(P14-$P$6)+$P$6</f>
        <v>6</v>
      </c>
      <c r="Q52" s="180">
        <f>(入力!D97/0.7)*(Q14-$Q$6)+$Q$6</f>
        <v>7</v>
      </c>
      <c r="R52" s="184">
        <f>(入力!D97/0.7)*(R14-$R$6)+$R$6</f>
        <v>9</v>
      </c>
      <c r="S52" s="182">
        <f>(入力!D97/0.7)*(S14-$S$6)+$S$6</f>
        <v>12</v>
      </c>
      <c r="T52" s="109">
        <f>(入力!D97/0.7)*(T14-$T$6)+$T$6</f>
        <v>14</v>
      </c>
      <c r="U52" s="109">
        <f>(入力!D97/0.7)*(U14-$U$6)+$U$6</f>
        <v>16</v>
      </c>
      <c r="V52" s="109">
        <f>(入力!D97/0.7)*(V14-$V$6)+$V$6</f>
        <v>16</v>
      </c>
      <c r="W52" s="109">
        <f>(入力!D97/0.7)*(W14-$W$6)+$W$6</f>
        <v>16</v>
      </c>
      <c r="X52" s="109">
        <f>(入力!D97/0.7)*(X14-$X$6)+$X$6</f>
        <v>14</v>
      </c>
      <c r="Y52" s="151">
        <v>0</v>
      </c>
      <c r="Z52" s="151">
        <v>0</v>
      </c>
      <c r="AA52" s="151">
        <v>0</v>
      </c>
    </row>
    <row r="53" spans="2:27" ht="14.25" thickBot="1">
      <c r="B53" s="1622"/>
      <c r="C53" s="90" t="s">
        <v>149</v>
      </c>
      <c r="D53" s="151">
        <v>0</v>
      </c>
      <c r="E53" s="151">
        <v>0</v>
      </c>
      <c r="F53" s="151">
        <v>0</v>
      </c>
      <c r="G53" s="151">
        <v>0</v>
      </c>
      <c r="H53" s="109">
        <f>(入力!D98/0.7)*(H15-$H$6)+$H$6</f>
        <v>4</v>
      </c>
      <c r="I53" s="109">
        <f>(入力!D98/0.7)*(I15-$I$6)+$I$6</f>
        <v>3</v>
      </c>
      <c r="J53" s="109">
        <f>(入力!D98/0.7)*(J15-$J$6)+$J$6</f>
        <v>3</v>
      </c>
      <c r="K53" s="180">
        <f>(入力!D98/0.7)*(K15-$K$6)+$K$6</f>
        <v>3</v>
      </c>
      <c r="L53" s="185">
        <f>(入力!D98/0.7)*(L15-$L$6)+$L$6</f>
        <v>3</v>
      </c>
      <c r="M53" s="182">
        <f>(入力!D98/0.7)*(M15-$M$6)+$M$6</f>
        <v>4</v>
      </c>
      <c r="N53" s="180">
        <f>(入力!D98/0.7)*(N15-$N$6)+$N$6</f>
        <v>4</v>
      </c>
      <c r="O53" s="185">
        <f>(入力!D98/0.7)*(O15-$O$6)+$O$6</f>
        <v>5</v>
      </c>
      <c r="P53" s="182">
        <f>(入力!D98/0.7)*(P15-$P$6)+$P$6</f>
        <v>5</v>
      </c>
      <c r="Q53" s="180">
        <f>(入力!D98/0.7)*(Q15-$Q$6)+$Q$6</f>
        <v>6</v>
      </c>
      <c r="R53" s="185">
        <f>(入力!D98/0.7)*(R15-$R$6)+$R$6</f>
        <v>7</v>
      </c>
      <c r="S53" s="182">
        <f>(入力!D98/0.7)*(S15-$S$6)+$S$6</f>
        <v>9</v>
      </c>
      <c r="T53" s="109">
        <f>(入力!D98/0.7)*(T15-$T$6)+$T$6</f>
        <v>11</v>
      </c>
      <c r="U53" s="109">
        <f>(入力!D98/0.7)*(U15-$U$6)+$U$6</f>
        <v>12</v>
      </c>
      <c r="V53" s="109">
        <f>(入力!D98/0.7)*(V15-$V$6)+$V$6</f>
        <v>13</v>
      </c>
      <c r="W53" s="109">
        <f>(入力!D98/0.7)*(W15-$W$6)+$W$6</f>
        <v>13</v>
      </c>
      <c r="X53" s="109">
        <f>(入力!D98/0.7)*(X15-$X$6)+$X$6</f>
        <v>12</v>
      </c>
      <c r="Y53" s="151">
        <v>0</v>
      </c>
      <c r="Z53" s="151">
        <v>0</v>
      </c>
      <c r="AA53" s="151">
        <v>0</v>
      </c>
    </row>
    <row r="55" spans="2:27">
      <c r="B55" s="91" t="s">
        <v>366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</row>
    <row r="56" spans="2:27" ht="14.25" thickBot="1">
      <c r="B56" s="1620" t="s">
        <v>138</v>
      </c>
      <c r="C56" s="1620" t="s">
        <v>50</v>
      </c>
      <c r="D56" s="1620" t="s">
        <v>139</v>
      </c>
      <c r="E56" s="1620"/>
      <c r="F56" s="1620"/>
      <c r="G56" s="1620"/>
      <c r="H56" s="1620"/>
      <c r="I56" s="1620"/>
      <c r="J56" s="1620"/>
      <c r="K56" s="1620"/>
      <c r="L56" s="1625"/>
      <c r="M56" s="1620"/>
      <c r="N56" s="1620"/>
      <c r="O56" s="1625"/>
      <c r="P56" s="1620"/>
      <c r="Q56" s="1620"/>
      <c r="R56" s="1625"/>
      <c r="S56" s="1620"/>
      <c r="T56" s="1620"/>
      <c r="U56" s="1620"/>
      <c r="V56" s="1620"/>
      <c r="W56" s="1620"/>
      <c r="X56" s="1620"/>
      <c r="Y56" s="1620"/>
      <c r="Z56" s="1620"/>
      <c r="AA56" s="1620"/>
    </row>
    <row r="57" spans="2:27">
      <c r="B57" s="1620"/>
      <c r="C57" s="1620"/>
      <c r="D57" s="151">
        <v>1</v>
      </c>
      <c r="E57" s="151">
        <v>2</v>
      </c>
      <c r="F57" s="151">
        <v>3</v>
      </c>
      <c r="G57" s="151">
        <v>4</v>
      </c>
      <c r="H57" s="97">
        <v>5</v>
      </c>
      <c r="I57" s="97">
        <v>6</v>
      </c>
      <c r="J57" s="97">
        <v>7</v>
      </c>
      <c r="K57" s="148">
        <v>8</v>
      </c>
      <c r="L57" s="150">
        <v>9</v>
      </c>
      <c r="M57" s="149">
        <v>10</v>
      </c>
      <c r="N57" s="148">
        <v>11</v>
      </c>
      <c r="O57" s="150">
        <v>12</v>
      </c>
      <c r="P57" s="149">
        <v>13</v>
      </c>
      <c r="Q57" s="148">
        <v>14</v>
      </c>
      <c r="R57" s="150">
        <v>15</v>
      </c>
      <c r="S57" s="149">
        <v>16</v>
      </c>
      <c r="T57" s="97">
        <v>17</v>
      </c>
      <c r="U57" s="97">
        <v>18</v>
      </c>
      <c r="V57" s="97">
        <v>19</v>
      </c>
      <c r="W57" s="97">
        <v>20</v>
      </c>
      <c r="X57" s="97">
        <v>21</v>
      </c>
      <c r="Y57" s="151">
        <v>22</v>
      </c>
      <c r="Z57" s="151">
        <v>23</v>
      </c>
      <c r="AA57" s="151">
        <v>24</v>
      </c>
    </row>
    <row r="58" spans="2:27">
      <c r="B58" s="1620" t="s">
        <v>189</v>
      </c>
      <c r="C58" s="97" t="s">
        <v>140</v>
      </c>
      <c r="D58" s="151">
        <v>0</v>
      </c>
      <c r="E58" s="151">
        <v>0</v>
      </c>
      <c r="F58" s="151">
        <v>0</v>
      </c>
      <c r="G58" s="151">
        <v>0</v>
      </c>
      <c r="H58" s="98">
        <f>H44+'実効温度差（ETD)諸言'!$G$38</f>
        <v>1.0999999999999979</v>
      </c>
      <c r="I58" s="98">
        <f>I44+'実効温度差（ETD)諸言'!$G$38</f>
        <v>1.0999999999999979</v>
      </c>
      <c r="J58" s="98">
        <f>J44+'実効温度差（ETD)諸言'!$G$38</f>
        <v>1.0999999999999979</v>
      </c>
      <c r="K58" s="99">
        <f>K44+'実効温度差（ETD)諸言'!$G$38</f>
        <v>1.0999999999999979</v>
      </c>
      <c r="L58" s="100">
        <f>L44+'実効温度差（ETD)諸言'!$G$38</f>
        <v>1.0999999999999979</v>
      </c>
      <c r="M58" s="101">
        <f>M44+'実効温度差（ETD)諸言'!$G$38</f>
        <v>1.0999999999999979</v>
      </c>
      <c r="N58" s="99">
        <f>N44+'実効温度差（ETD)諸言'!$G$38</f>
        <v>2.0999999999999979</v>
      </c>
      <c r="O58" s="100">
        <f>O44+'実効温度差（ETD)諸言'!$G$38</f>
        <v>2.0999999999999979</v>
      </c>
      <c r="P58" s="101">
        <f>P44+'実効温度差（ETD)諸言'!$G$38</f>
        <v>3.0999999999999979</v>
      </c>
      <c r="Q58" s="99">
        <f>Q44+'実効温度差（ETD)諸言'!$G$38</f>
        <v>3.0999999999999979</v>
      </c>
      <c r="R58" s="100">
        <f>R44+'実効温度差（ETD)諸言'!$G$38</f>
        <v>4.0999999999999979</v>
      </c>
      <c r="S58" s="101">
        <f>S44+'実効温度差（ETD)諸言'!$G$38</f>
        <v>4.0999999999999979</v>
      </c>
      <c r="T58" s="98">
        <f>T44+'実効温度差（ETD)諸言'!$G$38</f>
        <v>5.0999999999999979</v>
      </c>
      <c r="U58" s="98">
        <f>U44+'実効温度差（ETD)諸言'!$G$38</f>
        <v>5.0999999999999979</v>
      </c>
      <c r="V58" s="98">
        <f>V44+'実効温度差（ETD)諸言'!$G$38</f>
        <v>5.0999999999999979</v>
      </c>
      <c r="W58" s="98">
        <f>W44+'実効温度差（ETD)諸言'!$G$38</f>
        <v>4.0999999999999979</v>
      </c>
      <c r="X58" s="98">
        <f>X44+'実効温度差（ETD)諸言'!$G$38</f>
        <v>4.0999999999999979</v>
      </c>
      <c r="Y58" s="151">
        <v>0</v>
      </c>
      <c r="Z58" s="151">
        <v>0</v>
      </c>
      <c r="AA58" s="151">
        <v>0</v>
      </c>
    </row>
    <row r="59" spans="2:27">
      <c r="B59" s="1620"/>
      <c r="C59" s="97" t="s">
        <v>141</v>
      </c>
      <c r="D59" s="151">
        <v>0</v>
      </c>
      <c r="E59" s="151">
        <v>0</v>
      </c>
      <c r="F59" s="151">
        <v>0</v>
      </c>
      <c r="G59" s="151">
        <v>0</v>
      </c>
      <c r="H59" s="98">
        <f>ROUND(H45+'実効温度差（ETD)諸言'!$G$38,1)</f>
        <v>4.0999999999999996</v>
      </c>
      <c r="I59" s="98">
        <f>ROUND(I45+'実効温度差（ETD)諸言'!$G$38,1)</f>
        <v>3.1</v>
      </c>
      <c r="J59" s="98">
        <f>ROUND(J45+'実効温度差（ETD)諸言'!$G$38,1)</f>
        <v>4.0999999999999996</v>
      </c>
      <c r="K59" s="99">
        <f>ROUND(K45+'実効温度差（ETD)諸言'!$G$38,1)</f>
        <v>5.0999999999999996</v>
      </c>
      <c r="L59" s="100">
        <f>ROUND(L45+'実効温度差（ETD)諸言'!$G$38,1)</f>
        <v>7.1</v>
      </c>
      <c r="M59" s="101">
        <f>ROUND(M45+'実効温度差（ETD)諸言'!$G$38,1)</f>
        <v>9.1</v>
      </c>
      <c r="N59" s="99">
        <f>ROUND(N45+'実効温度差（ETD)諸言'!$G$38,1)</f>
        <v>12.1</v>
      </c>
      <c r="O59" s="100">
        <f>ROUND(O45+'実効温度差（ETD)諸言'!$G$38,1)</f>
        <v>16.100000000000001</v>
      </c>
      <c r="P59" s="101">
        <f>ROUND(P45+'実効温度差（ETD)諸言'!$G$38,1)</f>
        <v>19.100000000000001</v>
      </c>
      <c r="Q59" s="99">
        <f>ROUND(Q45+'実効温度差（ETD)諸言'!$G$38,1)</f>
        <v>21.1</v>
      </c>
      <c r="R59" s="100">
        <f>ROUND(R45+'実効温度差（ETD)諸言'!$G$38,1)</f>
        <v>23.1</v>
      </c>
      <c r="S59" s="101">
        <f>ROUND(S45+'実効温度差（ETD)諸言'!$G$38,1)</f>
        <v>24.1</v>
      </c>
      <c r="T59" s="98">
        <f>ROUND(T45+'実効温度差（ETD)諸言'!$G$38,1)</f>
        <v>24.1</v>
      </c>
      <c r="U59" s="98">
        <f>ROUND(U45+'実効温度差（ETD)諸言'!$G$38,1)</f>
        <v>23.1</v>
      </c>
      <c r="V59" s="98">
        <f>ROUND(V45+'実効温度差（ETD)諸言'!$G$38,1)</f>
        <v>21.1</v>
      </c>
      <c r="W59" s="98">
        <f>ROUND(W45+'実効温度差（ETD)諸言'!$G$38,1)</f>
        <v>19.100000000000001</v>
      </c>
      <c r="X59" s="98">
        <f>ROUND(X45+'実効温度差（ETD)諸言'!$G$38,1)</f>
        <v>16.100000000000001</v>
      </c>
      <c r="Y59" s="151">
        <v>0</v>
      </c>
      <c r="Z59" s="151">
        <v>0</v>
      </c>
      <c r="AA59" s="151">
        <v>0</v>
      </c>
    </row>
    <row r="60" spans="2:27">
      <c r="B60" s="1620"/>
      <c r="C60" s="97" t="s">
        <v>142</v>
      </c>
      <c r="D60" s="151">
        <v>0</v>
      </c>
      <c r="E60" s="151">
        <v>0</v>
      </c>
      <c r="F60" s="151">
        <v>0</v>
      </c>
      <c r="G60" s="151">
        <v>0</v>
      </c>
      <c r="H60" s="98">
        <f>ROUND(H46+'実効温度差（ETD)諸言'!$G$38,1)</f>
        <v>2.1</v>
      </c>
      <c r="I60" s="98">
        <f>I46+'実効温度差（ETD)諸言'!$G$38</f>
        <v>2.0999999999999979</v>
      </c>
      <c r="J60" s="98">
        <f>J46+'実効温度差（ETD)諸言'!$G$38</f>
        <v>2.0999999999999979</v>
      </c>
      <c r="K60" s="99">
        <f>K46+'実効温度差（ETD)諸言'!$G$38</f>
        <v>2.0999999999999979</v>
      </c>
      <c r="L60" s="100">
        <f>ROUND(L46+'実効温度差（ETD)諸言'!$G$38,1)</f>
        <v>3.1</v>
      </c>
      <c r="M60" s="101">
        <f>M46+'実効温度差（ETD)諸言'!$G$38</f>
        <v>3.0999999999999979</v>
      </c>
      <c r="N60" s="99">
        <f>N46+'実効温度差（ETD)諸言'!$G$38</f>
        <v>3.0999999999999979</v>
      </c>
      <c r="O60" s="100">
        <f>ROUND(O46+'実効温度差（ETD)諸言'!$G$38,1)</f>
        <v>4.0999999999999996</v>
      </c>
      <c r="P60" s="101">
        <f>P46+'実効温度差（ETD)諸言'!$G$38</f>
        <v>5.0999999999999979</v>
      </c>
      <c r="Q60" s="99">
        <f>Q46+'実効温度差（ETD)諸言'!$G$38</f>
        <v>5.0999999999999979</v>
      </c>
      <c r="R60" s="100">
        <f>ROUND(R46+'実効温度差（ETD)諸言'!$G$38,1)</f>
        <v>6.1</v>
      </c>
      <c r="S60" s="101">
        <f>S46+'実効温度差（ETD)諸言'!$G$38</f>
        <v>6.0999999999999979</v>
      </c>
      <c r="T60" s="98">
        <f>T46+'実効温度差（ETD)諸言'!$G$38</f>
        <v>6.0999999999999979</v>
      </c>
      <c r="U60" s="98">
        <f>U46+'実効温度差（ETD)諸言'!$G$38</f>
        <v>7.0999999999999979</v>
      </c>
      <c r="V60" s="98">
        <f>V46+'実効温度差（ETD)諸言'!$G$38</f>
        <v>7.0999999999999979</v>
      </c>
      <c r="W60" s="98">
        <f>W46+'実効温度差（ETD)諸言'!$G$38</f>
        <v>7.0999999999999979</v>
      </c>
      <c r="X60" s="98">
        <f>X46+'実効温度差（ETD)諸言'!$G$38</f>
        <v>6.0999999999999979</v>
      </c>
      <c r="Y60" s="151">
        <v>0</v>
      </c>
      <c r="Z60" s="151">
        <v>0</v>
      </c>
      <c r="AA60" s="151">
        <v>0</v>
      </c>
    </row>
    <row r="61" spans="2:27">
      <c r="B61" s="1620"/>
      <c r="C61" s="97" t="s">
        <v>143</v>
      </c>
      <c r="D61" s="151">
        <v>0</v>
      </c>
      <c r="E61" s="151">
        <v>0</v>
      </c>
      <c r="F61" s="151">
        <v>0</v>
      </c>
      <c r="G61" s="151">
        <v>0</v>
      </c>
      <c r="H61" s="98">
        <f>H47+'実効温度差（ETD)諸言'!$G$38</f>
        <v>2.0999999999999979</v>
      </c>
      <c r="I61" s="98">
        <f>I47+'実効温度差（ETD)諸言'!$G$38</f>
        <v>2.0999999999999979</v>
      </c>
      <c r="J61" s="98">
        <f>J47+'実効温度差（ETD)諸言'!$G$38</f>
        <v>3.0999999999999979</v>
      </c>
      <c r="K61" s="99">
        <f>K47+'実効温度差（ETD)諸言'!$G$38</f>
        <v>5.0999999999999979</v>
      </c>
      <c r="L61" s="100">
        <f>ROUND(L47+'実効温度差（ETD)諸言'!$G$38,1)</f>
        <v>7.1</v>
      </c>
      <c r="M61" s="101">
        <f>M47+'実効温度差（ETD)諸言'!$G$38</f>
        <v>8.0999999999999979</v>
      </c>
      <c r="N61" s="99">
        <f>N47+'実効温度差（ETD)諸言'!$G$38</f>
        <v>9.0999999999999979</v>
      </c>
      <c r="O61" s="100">
        <f>ROUND(O47+'実効温度差（ETD)諸言'!$G$38,1)</f>
        <v>9.1</v>
      </c>
      <c r="P61" s="101">
        <f>P47+'実効温度差（ETD)諸言'!$G$38</f>
        <v>9.0999999999999979</v>
      </c>
      <c r="Q61" s="99">
        <f>Q47+'実効温度差（ETD)諸言'!$G$38</f>
        <v>9.0999999999999979</v>
      </c>
      <c r="R61" s="100">
        <f>ROUND(R47+'実効温度差（ETD)諸言'!$G$38,1)</f>
        <v>9.1</v>
      </c>
      <c r="S61" s="101">
        <f>S47+'実効温度差（ETD)諸言'!$G$38</f>
        <v>8.0999999999999979</v>
      </c>
      <c r="T61" s="98">
        <f>T47+'実効温度差（ETD)諸言'!$G$38</f>
        <v>8.0999999999999979</v>
      </c>
      <c r="U61" s="98">
        <f>U47+'実効温度差（ETD)諸言'!$G$38</f>
        <v>8.0999999999999979</v>
      </c>
      <c r="V61" s="98">
        <f>V47+'実効温度差（ETD)諸言'!$G$38</f>
        <v>7.0999999999999979</v>
      </c>
      <c r="W61" s="98">
        <f>W47+'実効温度差（ETD)諸言'!$G$38</f>
        <v>7.0999999999999979</v>
      </c>
      <c r="X61" s="98">
        <f>X47+'実効温度差（ETD)諸言'!$G$38</f>
        <v>6.0999999999999979</v>
      </c>
      <c r="Y61" s="151">
        <v>0</v>
      </c>
      <c r="Z61" s="151">
        <v>0</v>
      </c>
      <c r="AA61" s="151">
        <v>0</v>
      </c>
    </row>
    <row r="62" spans="2:27">
      <c r="B62" s="1620"/>
      <c r="C62" s="97" t="s">
        <v>144</v>
      </c>
      <c r="D62" s="151">
        <v>0</v>
      </c>
      <c r="E62" s="151">
        <v>0</v>
      </c>
      <c r="F62" s="151">
        <v>0</v>
      </c>
      <c r="G62" s="151">
        <v>0</v>
      </c>
      <c r="H62" s="98">
        <f>H48+'実効温度差（ETD)諸言'!$G$38</f>
        <v>2.0999999999999979</v>
      </c>
      <c r="I62" s="98">
        <f>I48+'実効温度差（ETD)諸言'!$G$38</f>
        <v>2.0999999999999979</v>
      </c>
      <c r="J62" s="98">
        <f>J48+'実効温度差（ETD)諸言'!$G$38</f>
        <v>3.0999999999999979</v>
      </c>
      <c r="K62" s="99">
        <f>K48+'実効温度差（ETD)諸言'!$G$38</f>
        <v>6.0999999999999979</v>
      </c>
      <c r="L62" s="100">
        <f>ROUND(L48+'実効温度差（ETD)諸言'!$G$38,1)</f>
        <v>8.1</v>
      </c>
      <c r="M62" s="101">
        <f>M48+'実効温度差（ETD)諸言'!$G$38</f>
        <v>10.099999999999998</v>
      </c>
      <c r="N62" s="99">
        <f>N48+'実効温度差（ETD)諸言'!$G$38</f>
        <v>12.099999999999998</v>
      </c>
      <c r="O62" s="100">
        <f>ROUND(O48+'実効温度差（ETD)諸言'!$G$38,1)</f>
        <v>12.1</v>
      </c>
      <c r="P62" s="101">
        <f>P48+'実効温度差（ETD)諸言'!$G$38</f>
        <v>12.099999999999998</v>
      </c>
      <c r="Q62" s="99">
        <f>Q48+'実効温度差（ETD)諸言'!$G$38</f>
        <v>12.099999999999998</v>
      </c>
      <c r="R62" s="100">
        <f>ROUND(R48+'実効温度差（ETD)諸言'!$G$38,1)</f>
        <v>11.1</v>
      </c>
      <c r="S62" s="101">
        <f>S48+'実効温度差（ETD)諸言'!$G$38</f>
        <v>11.099999999999998</v>
      </c>
      <c r="T62" s="98">
        <f>T48+'実効温度差（ETD)諸言'!$G$38</f>
        <v>10.099999999999998</v>
      </c>
      <c r="U62" s="98">
        <f>U48+'実効温度差（ETD)諸言'!$G$38</f>
        <v>9.0999999999999979</v>
      </c>
      <c r="V62" s="98">
        <f>V48+'実効温度差（ETD)諸言'!$G$38</f>
        <v>9.0999999999999979</v>
      </c>
      <c r="W62" s="98">
        <f>W48+'実効温度差（ETD)諸言'!$G$38</f>
        <v>8.0999999999999979</v>
      </c>
      <c r="X62" s="98">
        <f>X48+'実効温度差（ETD)諸言'!$G$38</f>
        <v>7.0999999999999979</v>
      </c>
      <c r="Y62" s="151">
        <v>0</v>
      </c>
      <c r="Z62" s="151">
        <v>0</v>
      </c>
      <c r="AA62" s="151">
        <v>0</v>
      </c>
    </row>
    <row r="63" spans="2:27">
      <c r="B63" s="1620"/>
      <c r="C63" s="97" t="s">
        <v>145</v>
      </c>
      <c r="D63" s="151">
        <v>0</v>
      </c>
      <c r="E63" s="151">
        <v>0</v>
      </c>
      <c r="F63" s="151">
        <v>0</v>
      </c>
      <c r="G63" s="151">
        <v>0</v>
      </c>
      <c r="H63" s="98">
        <f>H49+'実効温度差（ETD)諸言'!$G$38</f>
        <v>2.0999999999999979</v>
      </c>
      <c r="I63" s="98">
        <f>I49+'実効温度差（ETD)諸言'!$G$38</f>
        <v>2.0999999999999979</v>
      </c>
      <c r="J63" s="98">
        <f>J49+'実効温度差（ETD)諸言'!$G$38</f>
        <v>3.0999999999999979</v>
      </c>
      <c r="K63" s="99">
        <f>K49+'実効温度差（ETD)諸言'!$G$38</f>
        <v>4.0999999999999979</v>
      </c>
      <c r="L63" s="100">
        <f>ROUND(L49+'実効温度差（ETD)諸言'!$G$38,1)</f>
        <v>6.1</v>
      </c>
      <c r="M63" s="101">
        <f>M49+'実効温度差（ETD)諸言'!$G$38</f>
        <v>8.0999999999999979</v>
      </c>
      <c r="N63" s="99">
        <f>N49+'実効温度差（ETD)諸言'!$G$38</f>
        <v>9.0999999999999979</v>
      </c>
      <c r="O63" s="100">
        <f>ROUND(O49+'実効温度差（ETD)諸言'!$G$38,1)</f>
        <v>11.1</v>
      </c>
      <c r="P63" s="101">
        <f>P49+'実効温度差（ETD)諸言'!$G$38</f>
        <v>11.099999999999998</v>
      </c>
      <c r="Q63" s="99">
        <f>Q49+'実効温度差（ETD)諸言'!$G$38</f>
        <v>11.099999999999998</v>
      </c>
      <c r="R63" s="100">
        <f>ROUND(R49+'実効温度差（ETD)諸言'!$G$38,1)</f>
        <v>11.1</v>
      </c>
      <c r="S63" s="101">
        <f>S49+'実効温度差（ETD)諸言'!$G$38</f>
        <v>10.099999999999998</v>
      </c>
      <c r="T63" s="98">
        <f>T49+'実効温度差（ETD)諸言'!$G$38</f>
        <v>10.099999999999998</v>
      </c>
      <c r="U63" s="98">
        <f>U49+'実効温度差（ETD)諸言'!$G$38</f>
        <v>9.0999999999999979</v>
      </c>
      <c r="V63" s="98">
        <f>V49+'実効温度差（ETD)諸言'!$G$38</f>
        <v>8.0999999999999979</v>
      </c>
      <c r="W63" s="98">
        <f>W49+'実効温度差（ETD)諸言'!$G$38</f>
        <v>8.0999999999999979</v>
      </c>
      <c r="X63" s="98">
        <f>X49+'実効温度差（ETD)諸言'!$G$38</f>
        <v>7.0999999999999979</v>
      </c>
      <c r="Y63" s="151">
        <v>0</v>
      </c>
      <c r="Z63" s="151">
        <v>0</v>
      </c>
      <c r="AA63" s="151">
        <v>0</v>
      </c>
    </row>
    <row r="64" spans="2:27">
      <c r="B64" s="1620"/>
      <c r="C64" s="97" t="s">
        <v>146</v>
      </c>
      <c r="D64" s="151">
        <v>0</v>
      </c>
      <c r="E64" s="151">
        <v>0</v>
      </c>
      <c r="F64" s="151">
        <v>0</v>
      </c>
      <c r="G64" s="151">
        <v>0</v>
      </c>
      <c r="H64" s="98">
        <f>H50+'実効温度差（ETD)諸言'!$G$38</f>
        <v>2.0999999999999979</v>
      </c>
      <c r="I64" s="98">
        <f>I50+'実効温度差（ETD)諸言'!$G$38</f>
        <v>2.0999999999999979</v>
      </c>
      <c r="J64" s="98">
        <f>J50+'実効温度差（ETD)諸言'!$G$38</f>
        <v>1.0999999999999979</v>
      </c>
      <c r="K64" s="99">
        <f>K50+'実効温度差（ETD)諸言'!$G$38</f>
        <v>2.0999999999999979</v>
      </c>
      <c r="L64" s="100">
        <f>ROUND(L50+'実効温度差（ETD)諸言'!$G$38,1)</f>
        <v>2.1</v>
      </c>
      <c r="M64" s="101">
        <f>M50+'実効温度差（ETD)諸言'!$G$38</f>
        <v>3.0999999999999979</v>
      </c>
      <c r="N64" s="99">
        <f>N50+'実効温度差（ETD)諸言'!$G$38</f>
        <v>4.0999999999999979</v>
      </c>
      <c r="O64" s="100">
        <f>ROUND(O50+'実効温度差（ETD)諸言'!$G$38,1)</f>
        <v>5.0999999999999996</v>
      </c>
      <c r="P64" s="101">
        <f>P50+'実効温度差（ETD)諸言'!$G$38</f>
        <v>7.0999999999999979</v>
      </c>
      <c r="Q64" s="99">
        <f>Q50+'実効温度差（ETD)諸言'!$G$38</f>
        <v>8.0999999999999979</v>
      </c>
      <c r="R64" s="100">
        <f>ROUND(R50+'実効温度差（ETD)諸言'!$G$38,1)</f>
        <v>9.1</v>
      </c>
      <c r="S64" s="101">
        <f>S50+'実効温度差（ETD)諸言'!$G$38</f>
        <v>9.0999999999999979</v>
      </c>
      <c r="T64" s="98">
        <f>T50+'実効温度差（ETD)諸言'!$G$38</f>
        <v>9.0999999999999979</v>
      </c>
      <c r="U64" s="98">
        <f>U50+'実効温度差（ETD)諸言'!$G$38</f>
        <v>9.0999999999999979</v>
      </c>
      <c r="V64" s="98">
        <f>V50+'実効温度差（ETD)諸言'!$G$38</f>
        <v>8.0999999999999979</v>
      </c>
      <c r="W64" s="98">
        <f>W50+'実効温度差（ETD)諸言'!$G$38</f>
        <v>7.0999999999999979</v>
      </c>
      <c r="X64" s="98">
        <f>X50+'実効温度差（ETD)諸言'!$G$38</f>
        <v>7.0999999999999979</v>
      </c>
      <c r="Y64" s="151">
        <v>0</v>
      </c>
      <c r="Z64" s="151">
        <v>0</v>
      </c>
      <c r="AA64" s="151">
        <v>0</v>
      </c>
    </row>
    <row r="65" spans="2:27">
      <c r="B65" s="1620"/>
      <c r="C65" s="97" t="s">
        <v>147</v>
      </c>
      <c r="D65" s="151">
        <v>0</v>
      </c>
      <c r="E65" s="151">
        <v>0</v>
      </c>
      <c r="F65" s="151">
        <v>0</v>
      </c>
      <c r="G65" s="151">
        <v>0</v>
      </c>
      <c r="H65" s="98">
        <f>H51+'実効温度差（ETD)諸言'!$G$38</f>
        <v>3.0999999999999979</v>
      </c>
      <c r="I65" s="98">
        <f>I51+'実効温度差（ETD)諸言'!$G$38</f>
        <v>2.0999999999999979</v>
      </c>
      <c r="J65" s="98">
        <f>J51+'実効温度差（ETD)諸言'!$G$38</f>
        <v>2.0999999999999979</v>
      </c>
      <c r="K65" s="99">
        <f>K51+'実効温度差（ETD)諸言'!$G$38</f>
        <v>2.0999999999999979</v>
      </c>
      <c r="L65" s="100">
        <f>ROUND(L51+'実効温度差（ETD)諸言'!$G$38,1)</f>
        <v>2.1</v>
      </c>
      <c r="M65" s="101">
        <f>M51+'実効温度差（ETD)諸言'!$G$38</f>
        <v>3.0999999999999979</v>
      </c>
      <c r="N65" s="99">
        <f>N51+'実効温度差（ETD)諸言'!$G$38</f>
        <v>3.0999999999999979</v>
      </c>
      <c r="O65" s="100">
        <f>ROUND(O51+'実効温度差（ETD)諸言'!$G$38,1)</f>
        <v>4.0999999999999996</v>
      </c>
      <c r="P65" s="101">
        <f>P51+'実効温度差（ETD)諸言'!$G$38</f>
        <v>5.0999999999999979</v>
      </c>
      <c r="Q65" s="99">
        <f>Q51+'実効温度差（ETD)諸言'!$G$38</f>
        <v>7.0999999999999979</v>
      </c>
      <c r="R65" s="100">
        <f>ROUND(R51+'実効温度差（ETD)諸言'!$G$38,1)</f>
        <v>9.1</v>
      </c>
      <c r="S65" s="101">
        <f>S51+'実効温度差（ETD)諸言'!$G$38</f>
        <v>11.099999999999998</v>
      </c>
      <c r="T65" s="98">
        <f>T51+'実効温度差（ETD)諸言'!$G$38</f>
        <v>12.099999999999998</v>
      </c>
      <c r="U65" s="98">
        <f>U51+'実効温度差（ETD)諸言'!$G$38</f>
        <v>13.099999999999998</v>
      </c>
      <c r="V65" s="98">
        <f>V51+'実効温度差（ETD)諸言'!$G$38</f>
        <v>13.099999999999998</v>
      </c>
      <c r="W65" s="98">
        <f>W51+'実効温度差（ETD)諸言'!$G$38</f>
        <v>12.099999999999998</v>
      </c>
      <c r="X65" s="98">
        <f>X51+'実効温度差（ETD)諸言'!$G$38</f>
        <v>11.099999999999998</v>
      </c>
      <c r="Y65" s="151">
        <v>0</v>
      </c>
      <c r="Z65" s="151">
        <v>0</v>
      </c>
      <c r="AA65" s="151">
        <v>0</v>
      </c>
    </row>
    <row r="66" spans="2:27">
      <c r="B66" s="1620"/>
      <c r="C66" s="97" t="s">
        <v>148</v>
      </c>
      <c r="D66" s="151">
        <v>0</v>
      </c>
      <c r="E66" s="151">
        <v>0</v>
      </c>
      <c r="F66" s="151">
        <v>0</v>
      </c>
      <c r="G66" s="151">
        <v>0</v>
      </c>
      <c r="H66" s="98">
        <f>H52+'実効温度差（ETD)諸言'!$G$38</f>
        <v>3.0999999999999979</v>
      </c>
      <c r="I66" s="98">
        <f>I52+'実効温度差（ETD)諸言'!$G$38</f>
        <v>3.0999999999999979</v>
      </c>
      <c r="J66" s="98">
        <f>J52+'実効温度差（ETD)諸言'!$G$38</f>
        <v>2.0999999999999979</v>
      </c>
      <c r="K66" s="99">
        <f>K52+'実効温度差（ETD)諸言'!$G$38</f>
        <v>2.0999999999999979</v>
      </c>
      <c r="L66" s="100">
        <f>ROUND(L52+'実効温度差（ETD)諸言'!$G$38,1)</f>
        <v>2.1</v>
      </c>
      <c r="M66" s="101">
        <f>M52+'実効温度差（ETD)諸言'!$G$38</f>
        <v>3.0999999999999979</v>
      </c>
      <c r="N66" s="99">
        <f>N52+'実効温度差（ETD)諸言'!$G$38</f>
        <v>3.0999999999999979</v>
      </c>
      <c r="O66" s="100">
        <f>ROUND(O52+'実効温度差（ETD)諸言'!$G$38,1)</f>
        <v>4.0999999999999996</v>
      </c>
      <c r="P66" s="101">
        <f>P52+'実効温度差（ETD)諸言'!$G$38</f>
        <v>5.0999999999999979</v>
      </c>
      <c r="Q66" s="99">
        <f>Q52+'実効温度差（ETD)諸言'!$G$38</f>
        <v>6.0999999999999979</v>
      </c>
      <c r="R66" s="100">
        <f>ROUND(R52+'実効温度差（ETD)諸言'!$G$38,1)</f>
        <v>8.1</v>
      </c>
      <c r="S66" s="101">
        <f>S52+'実効温度差（ETD)諸言'!$G$38</f>
        <v>11.099999999999998</v>
      </c>
      <c r="T66" s="98">
        <f>T52+'実効温度差（ETD)諸言'!$G$38</f>
        <v>13.099999999999998</v>
      </c>
      <c r="U66" s="98">
        <f>U52+'実効温度差（ETD)諸言'!$G$38</f>
        <v>15.099999999999998</v>
      </c>
      <c r="V66" s="98">
        <f>V52+'実効温度差（ETD)諸言'!$G$38</f>
        <v>15.099999999999998</v>
      </c>
      <c r="W66" s="98">
        <f>W52+'実効温度差（ETD)諸言'!$G$38</f>
        <v>15.099999999999998</v>
      </c>
      <c r="X66" s="98">
        <f>X52+'実効温度差（ETD)諸言'!$G$38</f>
        <v>13.099999999999998</v>
      </c>
      <c r="Y66" s="151">
        <v>0</v>
      </c>
      <c r="Z66" s="151">
        <v>0</v>
      </c>
      <c r="AA66" s="151">
        <v>0</v>
      </c>
    </row>
    <row r="67" spans="2:27">
      <c r="B67" s="1620"/>
      <c r="C67" s="97" t="s">
        <v>149</v>
      </c>
      <c r="D67" s="151">
        <v>0</v>
      </c>
      <c r="E67" s="151">
        <v>0</v>
      </c>
      <c r="F67" s="151">
        <v>0</v>
      </c>
      <c r="G67" s="151">
        <v>0</v>
      </c>
      <c r="H67" s="98">
        <f>H53+'実効温度差（ETD)諸言'!$G$38</f>
        <v>3.0999999999999979</v>
      </c>
      <c r="I67" s="98">
        <f>I53+'実効温度差（ETD)諸言'!$G$38</f>
        <v>2.0999999999999979</v>
      </c>
      <c r="J67" s="98">
        <f>J53+'実効温度差（ETD)諸言'!$G$38</f>
        <v>2.0999999999999979</v>
      </c>
      <c r="K67" s="99">
        <f>K53+'実効温度差（ETD)諸言'!$G$38</f>
        <v>2.0999999999999979</v>
      </c>
      <c r="L67" s="100">
        <f>ROUND(L53+'実効温度差（ETD)諸言'!$G$38,1)</f>
        <v>2.1</v>
      </c>
      <c r="M67" s="101">
        <f>M53+'実効温度差（ETD)諸言'!$G$38</f>
        <v>3.0999999999999979</v>
      </c>
      <c r="N67" s="99">
        <f>N53+'実効温度差（ETD)諸言'!$G$38</f>
        <v>3.0999999999999979</v>
      </c>
      <c r="O67" s="100">
        <f>ROUND(O53+'実効温度差（ETD)諸言'!$G$38,1)</f>
        <v>4.0999999999999996</v>
      </c>
      <c r="P67" s="101">
        <f>P53+'実効温度差（ETD)諸言'!$G$38</f>
        <v>4.0999999999999979</v>
      </c>
      <c r="Q67" s="99">
        <f>Q53+'実効温度差（ETD)諸言'!$G$38</f>
        <v>5.0999999999999979</v>
      </c>
      <c r="R67" s="100">
        <f>ROUND(R53+'実効温度差（ETD)諸言'!$G$38,1)</f>
        <v>6.1</v>
      </c>
      <c r="S67" s="101">
        <f>S53+'実効温度差（ETD)諸言'!$G$38</f>
        <v>8.0999999999999979</v>
      </c>
      <c r="T67" s="98">
        <f>T53+'実効温度差（ETD)諸言'!$G$38</f>
        <v>10.099999999999998</v>
      </c>
      <c r="U67" s="98">
        <f>U53+'実効温度差（ETD)諸言'!$G$38</f>
        <v>11.099999999999998</v>
      </c>
      <c r="V67" s="98">
        <f>V53+'実効温度差（ETD)諸言'!$G$38</f>
        <v>12.099999999999998</v>
      </c>
      <c r="W67" s="98">
        <f>W53+'実効温度差（ETD)諸言'!$G$38</f>
        <v>12.099999999999998</v>
      </c>
      <c r="X67" s="98">
        <f>X53+'実効温度差（ETD)諸言'!$G$38</f>
        <v>11.099999999999998</v>
      </c>
      <c r="Y67" s="151">
        <v>0</v>
      </c>
      <c r="Z67" s="151">
        <v>0</v>
      </c>
      <c r="AA67" s="151">
        <v>0</v>
      </c>
    </row>
    <row r="70" spans="2:27">
      <c r="J70" s="105">
        <f>AVERAGE(J58:J67)</f>
        <v>2.3999999999999977</v>
      </c>
      <c r="K70" s="105">
        <f t="shared" ref="K70:U70" si="2">AVERAGE(K58:K67)</f>
        <v>3.1999999999999984</v>
      </c>
      <c r="L70" s="106">
        <f t="shared" si="2"/>
        <v>4.1000000000000005</v>
      </c>
      <c r="M70" s="105">
        <f t="shared" si="2"/>
        <v>5.1999999999999975</v>
      </c>
      <c r="N70" s="105">
        <f t="shared" si="2"/>
        <v>6.099999999999997</v>
      </c>
      <c r="O70" s="106">
        <f t="shared" si="2"/>
        <v>7.2</v>
      </c>
      <c r="P70" s="105">
        <f t="shared" si="2"/>
        <v>8.0999999999999961</v>
      </c>
      <c r="Q70" s="105">
        <f t="shared" si="2"/>
        <v>8.7999999999999954</v>
      </c>
      <c r="R70" s="106">
        <f t="shared" si="2"/>
        <v>9.6999999999999975</v>
      </c>
      <c r="S70" s="105">
        <f t="shared" si="2"/>
        <v>10.299999999999995</v>
      </c>
      <c r="T70" s="105">
        <f t="shared" si="2"/>
        <v>10.799999999999995</v>
      </c>
      <c r="U70" s="105">
        <f t="shared" si="2"/>
        <v>10.999999999999996</v>
      </c>
    </row>
    <row r="141" spans="3:3">
      <c r="C141" s="89" t="s">
        <v>384</v>
      </c>
    </row>
  </sheetData>
  <mergeCells count="16">
    <mergeCell ref="B44:B53"/>
    <mergeCell ref="B56:B57"/>
    <mergeCell ref="C56:C57"/>
    <mergeCell ref="D56:AA56"/>
    <mergeCell ref="B58:B67"/>
    <mergeCell ref="B20:B29"/>
    <mergeCell ref="B42:B43"/>
    <mergeCell ref="C42:C43"/>
    <mergeCell ref="D42:AA42"/>
    <mergeCell ref="B4:B5"/>
    <mergeCell ref="C4:C5"/>
    <mergeCell ref="D4:AA4"/>
    <mergeCell ref="B6:B15"/>
    <mergeCell ref="B18:B19"/>
    <mergeCell ref="C18:C19"/>
    <mergeCell ref="D18:AA18"/>
  </mergeCells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21"/>
  <sheetViews>
    <sheetView workbookViewId="0">
      <selection activeCell="G7" sqref="G7"/>
    </sheetView>
  </sheetViews>
  <sheetFormatPr defaultRowHeight="13.5"/>
  <cols>
    <col min="1" max="2" width="9" style="132"/>
    <col min="3" max="3" width="4.75" style="132" bestFit="1" customWidth="1"/>
    <col min="4" max="16" width="5.375" style="132" bestFit="1" customWidth="1"/>
    <col min="17" max="17" width="3.625" style="132" bestFit="1" customWidth="1"/>
    <col min="18" max="18" width="9" style="132"/>
  </cols>
  <sheetData>
    <row r="1" spans="2:19">
      <c r="B1" s="1626" t="s">
        <v>153</v>
      </c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</row>
    <row r="2" spans="2:19" ht="14.25" thickBot="1">
      <c r="B2" s="1627" t="s">
        <v>50</v>
      </c>
      <c r="C2" s="1627" t="s">
        <v>139</v>
      </c>
      <c r="D2" s="1627"/>
      <c r="E2" s="1627"/>
      <c r="F2" s="1627"/>
      <c r="G2" s="1628"/>
      <c r="H2" s="1627"/>
      <c r="I2" s="1627"/>
      <c r="J2" s="1628"/>
      <c r="K2" s="1627"/>
      <c r="L2" s="1627"/>
      <c r="M2" s="1628"/>
      <c r="N2" s="1627"/>
      <c r="O2" s="1627"/>
      <c r="P2" s="1627"/>
      <c r="Q2" s="1627"/>
    </row>
    <row r="3" spans="2:19">
      <c r="B3" s="1627"/>
      <c r="C3" s="133">
        <v>5</v>
      </c>
      <c r="D3" s="133">
        <v>6</v>
      </c>
      <c r="E3" s="133">
        <v>7</v>
      </c>
      <c r="F3" s="134">
        <v>8</v>
      </c>
      <c r="G3" s="135">
        <v>9</v>
      </c>
      <c r="H3" s="136">
        <v>10</v>
      </c>
      <c r="I3" s="134">
        <v>11</v>
      </c>
      <c r="J3" s="135">
        <v>12</v>
      </c>
      <c r="K3" s="136">
        <v>13</v>
      </c>
      <c r="L3" s="134">
        <v>14</v>
      </c>
      <c r="M3" s="135">
        <v>15</v>
      </c>
      <c r="N3" s="136">
        <v>16</v>
      </c>
      <c r="O3" s="133">
        <v>17</v>
      </c>
      <c r="P3" s="133">
        <v>18</v>
      </c>
      <c r="Q3" s="133">
        <v>19</v>
      </c>
      <c r="S3" s="111" t="s">
        <v>161</v>
      </c>
    </row>
    <row r="4" spans="2:19">
      <c r="B4" s="144" t="s">
        <v>141</v>
      </c>
      <c r="C4" s="311">
        <v>16</v>
      </c>
      <c r="D4" s="311">
        <v>122</v>
      </c>
      <c r="E4" s="311">
        <v>308</v>
      </c>
      <c r="F4" s="312">
        <v>498</v>
      </c>
      <c r="G4" s="313">
        <v>653</v>
      </c>
      <c r="H4" s="136">
        <v>765</v>
      </c>
      <c r="I4" s="134">
        <v>829</v>
      </c>
      <c r="J4" s="137">
        <v>843</v>
      </c>
      <c r="K4" s="136">
        <v>807</v>
      </c>
      <c r="L4" s="134">
        <v>723</v>
      </c>
      <c r="M4" s="137">
        <v>591</v>
      </c>
      <c r="N4" s="136">
        <v>419</v>
      </c>
      <c r="O4" s="133">
        <v>224</v>
      </c>
      <c r="P4" s="133">
        <v>63</v>
      </c>
      <c r="Q4" s="133">
        <v>0</v>
      </c>
      <c r="S4" s="145">
        <f>SUM(C4:Q4)</f>
        <v>6861</v>
      </c>
    </row>
    <row r="5" spans="2:19">
      <c r="B5" s="133" t="s">
        <v>140</v>
      </c>
      <c r="C5" s="311">
        <v>8</v>
      </c>
      <c r="D5" s="311">
        <v>24</v>
      </c>
      <c r="E5" s="311">
        <v>33</v>
      </c>
      <c r="F5" s="312">
        <v>38</v>
      </c>
      <c r="G5" s="313">
        <v>42</v>
      </c>
      <c r="H5" s="136">
        <v>43</v>
      </c>
      <c r="I5" s="315">
        <f>43</f>
        <v>43</v>
      </c>
      <c r="J5" s="137">
        <f>43</f>
        <v>43</v>
      </c>
      <c r="K5" s="136">
        <f>43</f>
        <v>43</v>
      </c>
      <c r="L5" s="136">
        <f>43</f>
        <v>43</v>
      </c>
      <c r="M5" s="137">
        <v>40</v>
      </c>
      <c r="N5" s="136">
        <v>36</v>
      </c>
      <c r="O5" s="133">
        <v>30</v>
      </c>
      <c r="P5" s="133">
        <v>20</v>
      </c>
      <c r="Q5" s="133">
        <v>0</v>
      </c>
      <c r="S5" s="143">
        <f t="shared" ref="S5:S13" si="0">SUM(C5:Q5)</f>
        <v>486</v>
      </c>
    </row>
    <row r="6" spans="2:19">
      <c r="B6" s="133" t="s">
        <v>142</v>
      </c>
      <c r="C6" s="311">
        <f>C21*20</f>
        <v>18.600000000000001</v>
      </c>
      <c r="D6" s="311">
        <f>C21*100</f>
        <v>93</v>
      </c>
      <c r="E6" s="311">
        <f>C21*55</f>
        <v>51.150000000000006</v>
      </c>
      <c r="F6" s="312">
        <f>C21*38</f>
        <v>35.340000000000003</v>
      </c>
      <c r="G6" s="313">
        <f>C21*42</f>
        <v>39.06</v>
      </c>
      <c r="H6" s="316">
        <f>$C$21*43</f>
        <v>39.99</v>
      </c>
      <c r="I6" s="317">
        <f>$C$21*43</f>
        <v>39.99</v>
      </c>
      <c r="J6" s="313">
        <f>$C$21*43</f>
        <v>39.99</v>
      </c>
      <c r="K6" s="316">
        <f>$C$21*43</f>
        <v>39.99</v>
      </c>
      <c r="L6" s="316">
        <f>$C$21*43</f>
        <v>39.99</v>
      </c>
      <c r="M6" s="313">
        <f>$C$21*40</f>
        <v>37.200000000000003</v>
      </c>
      <c r="N6" s="316">
        <f>C21*38</f>
        <v>35.340000000000003</v>
      </c>
      <c r="O6" s="318">
        <f>C21*76</f>
        <v>70.680000000000007</v>
      </c>
      <c r="P6" s="318">
        <f>C21*99</f>
        <v>92.070000000000007</v>
      </c>
      <c r="Q6" s="133">
        <v>0</v>
      </c>
      <c r="S6" s="143">
        <f t="shared" si="0"/>
        <v>672.39</v>
      </c>
    </row>
    <row r="7" spans="2:19">
      <c r="B7" s="144" t="s">
        <v>154</v>
      </c>
      <c r="C7" s="311">
        <f>C21*43</f>
        <v>39.99</v>
      </c>
      <c r="D7" s="311">
        <f>C21*430</f>
        <v>399.90000000000003</v>
      </c>
      <c r="E7" s="311">
        <f>C21*476</f>
        <v>442.68</v>
      </c>
      <c r="F7" s="312">
        <f>C21*394</f>
        <v>366.42</v>
      </c>
      <c r="G7" s="313">
        <f>C21*245</f>
        <v>227.85000000000002</v>
      </c>
      <c r="H7" s="316">
        <f>C21*92</f>
        <v>85.56</v>
      </c>
      <c r="I7" s="317">
        <f>$C$21*43</f>
        <v>39.99</v>
      </c>
      <c r="J7" s="313">
        <f>$C$21*43</f>
        <v>39.99</v>
      </c>
      <c r="K7" s="316">
        <f>$C$21*43</f>
        <v>39.99</v>
      </c>
      <c r="L7" s="316">
        <f>$C$21*43</f>
        <v>39.99</v>
      </c>
      <c r="M7" s="313">
        <f t="shared" ref="M7:M9" si="1">$C$21*40</f>
        <v>37.200000000000003</v>
      </c>
      <c r="N7" s="316">
        <f>$C$21*36</f>
        <v>33.480000000000004</v>
      </c>
      <c r="O7" s="318">
        <f>C21*30</f>
        <v>27.900000000000002</v>
      </c>
      <c r="P7" s="318">
        <f>C21*20</f>
        <v>18.600000000000001</v>
      </c>
      <c r="Q7" s="133">
        <v>0</v>
      </c>
      <c r="S7" s="145">
        <f t="shared" si="0"/>
        <v>1839.5400000000002</v>
      </c>
    </row>
    <row r="8" spans="2:19">
      <c r="B8" s="144" t="s">
        <v>144</v>
      </c>
      <c r="C8" s="311">
        <f>C21*43</f>
        <v>39.99</v>
      </c>
      <c r="D8" s="311">
        <f>C21*480</f>
        <v>446.40000000000003</v>
      </c>
      <c r="E8" s="311">
        <f>C21*603</f>
        <v>560.79000000000008</v>
      </c>
      <c r="F8" s="312">
        <f>C21*591</f>
        <v>549.63</v>
      </c>
      <c r="G8" s="313">
        <f>C21*491</f>
        <v>456.63000000000005</v>
      </c>
      <c r="H8" s="316">
        <f>C21*319</f>
        <v>296.67</v>
      </c>
      <c r="I8" s="312">
        <f>C21*121</f>
        <v>112.53</v>
      </c>
      <c r="J8" s="313">
        <f>$C$21*43</f>
        <v>39.99</v>
      </c>
      <c r="K8" s="316">
        <f>$C$21*43</f>
        <v>39.99</v>
      </c>
      <c r="L8" s="316">
        <f>$C$21*43</f>
        <v>39.99</v>
      </c>
      <c r="M8" s="313">
        <f t="shared" si="1"/>
        <v>37.200000000000003</v>
      </c>
      <c r="N8" s="316">
        <f t="shared" ref="N8:N10" si="2">$C$21*36</f>
        <v>33.480000000000004</v>
      </c>
      <c r="O8" s="318">
        <f>C21*30</f>
        <v>27.900000000000002</v>
      </c>
      <c r="P8" s="318">
        <f>C21*20</f>
        <v>18.600000000000001</v>
      </c>
      <c r="Q8" s="133">
        <v>0</v>
      </c>
      <c r="S8" s="145">
        <f t="shared" si="0"/>
        <v>2699.7899999999995</v>
      </c>
    </row>
    <row r="9" spans="2:19">
      <c r="B9" s="144" t="s">
        <v>145</v>
      </c>
      <c r="C9" s="311">
        <f>C21*20</f>
        <v>18.600000000000001</v>
      </c>
      <c r="D9" s="311">
        <f>C21*236</f>
        <v>219.48000000000002</v>
      </c>
      <c r="E9" s="311">
        <f>C21*363</f>
        <v>337.59000000000003</v>
      </c>
      <c r="F9" s="312">
        <f>C21*417</f>
        <v>387.81</v>
      </c>
      <c r="G9" s="313">
        <f>C21*409</f>
        <v>380.37</v>
      </c>
      <c r="H9" s="316">
        <f>C21*341</f>
        <v>317.13</v>
      </c>
      <c r="I9" s="312">
        <f>C21*224</f>
        <v>208.32000000000002</v>
      </c>
      <c r="J9" s="313">
        <f>C21*93</f>
        <v>86.490000000000009</v>
      </c>
      <c r="K9" s="316">
        <f>$C$21*43</f>
        <v>39.99</v>
      </c>
      <c r="L9" s="316">
        <f>$C$21*43</f>
        <v>39.99</v>
      </c>
      <c r="M9" s="313">
        <f t="shared" si="1"/>
        <v>37.200000000000003</v>
      </c>
      <c r="N9" s="316">
        <f t="shared" si="2"/>
        <v>33.480000000000004</v>
      </c>
      <c r="O9" s="318">
        <f>C21*30</f>
        <v>27.900000000000002</v>
      </c>
      <c r="P9" s="318">
        <f>C21*20</f>
        <v>18.600000000000001</v>
      </c>
      <c r="Q9" s="133">
        <v>0</v>
      </c>
      <c r="S9" s="145">
        <f t="shared" si="0"/>
        <v>2152.9499999999998</v>
      </c>
    </row>
    <row r="10" spans="2:19">
      <c r="B10" s="133" t="s">
        <v>146</v>
      </c>
      <c r="C10" s="311">
        <f>C21*8</f>
        <v>7.44</v>
      </c>
      <c r="D10" s="311">
        <f>C21*24</f>
        <v>22.32</v>
      </c>
      <c r="E10" s="311">
        <f>C21*33</f>
        <v>30.69</v>
      </c>
      <c r="F10" s="312">
        <f>C21*40</f>
        <v>37.200000000000003</v>
      </c>
      <c r="G10" s="313">
        <f>C21*77</f>
        <v>71.61</v>
      </c>
      <c r="H10" s="316">
        <f>C21*131</f>
        <v>121.83000000000001</v>
      </c>
      <c r="I10" s="312">
        <f>C21*171</f>
        <v>159.03</v>
      </c>
      <c r="J10" s="313">
        <f>C21*180</f>
        <v>167.4</v>
      </c>
      <c r="K10" s="316">
        <f>C21*157</f>
        <v>146.01000000000002</v>
      </c>
      <c r="L10" s="312">
        <f>C21*108</f>
        <v>100.44000000000001</v>
      </c>
      <c r="M10" s="313">
        <f>C21*56</f>
        <v>52.080000000000005</v>
      </c>
      <c r="N10" s="316">
        <f t="shared" si="2"/>
        <v>33.480000000000004</v>
      </c>
      <c r="O10" s="318">
        <f>C21*30</f>
        <v>27.900000000000002</v>
      </c>
      <c r="P10" s="318">
        <f>C21*20</f>
        <v>18.600000000000001</v>
      </c>
      <c r="Q10" s="133">
        <v>0</v>
      </c>
      <c r="S10" s="143">
        <f t="shared" si="0"/>
        <v>996.03000000000009</v>
      </c>
    </row>
    <row r="11" spans="2:19">
      <c r="B11" s="144" t="s">
        <v>155</v>
      </c>
      <c r="C11" s="311">
        <f>C21*8</f>
        <v>7.44</v>
      </c>
      <c r="D11" s="311">
        <f>C21*24</f>
        <v>22.32</v>
      </c>
      <c r="E11" s="311">
        <f>C21*33</f>
        <v>30.69</v>
      </c>
      <c r="F11" s="312">
        <f>C21*38</f>
        <v>35.340000000000003</v>
      </c>
      <c r="G11" s="313">
        <f>C21*42</f>
        <v>39.06</v>
      </c>
      <c r="H11" s="316">
        <f>$C$21*43</f>
        <v>39.99</v>
      </c>
      <c r="I11" s="312">
        <f>C21*48</f>
        <v>44.64</v>
      </c>
      <c r="J11" s="313">
        <f>C21*147</f>
        <v>136.71</v>
      </c>
      <c r="K11" s="316">
        <f>C21*279</f>
        <v>259.47000000000003</v>
      </c>
      <c r="L11" s="312">
        <f>C21*377</f>
        <v>350.61</v>
      </c>
      <c r="M11" s="313">
        <f>C21*420</f>
        <v>390.6</v>
      </c>
      <c r="N11" s="316">
        <f>C21*402</f>
        <v>373.86</v>
      </c>
      <c r="O11" s="318">
        <f>C21*317</f>
        <v>294.81</v>
      </c>
      <c r="P11" s="318">
        <f>C21*153</f>
        <v>142.29000000000002</v>
      </c>
      <c r="Q11" s="133">
        <v>0</v>
      </c>
      <c r="S11" s="145">
        <f t="shared" si="0"/>
        <v>2167.83</v>
      </c>
    </row>
    <row r="12" spans="2:19">
      <c r="B12" s="144" t="s">
        <v>148</v>
      </c>
      <c r="C12" s="311">
        <f>C21*8</f>
        <v>7.44</v>
      </c>
      <c r="D12" s="311">
        <f>C21*24</f>
        <v>22.32</v>
      </c>
      <c r="E12" s="311">
        <f>C21*33</f>
        <v>30.69</v>
      </c>
      <c r="F12" s="312">
        <f>C21*38</f>
        <v>35.340000000000003</v>
      </c>
      <c r="G12" s="313">
        <f>C21*42</f>
        <v>39.06</v>
      </c>
      <c r="H12" s="316">
        <f>$C$21*43</f>
        <v>39.99</v>
      </c>
      <c r="I12" s="316">
        <f>$C$21*43</f>
        <v>39.99</v>
      </c>
      <c r="J12" s="313">
        <f>C21*50</f>
        <v>46.5</v>
      </c>
      <c r="K12" s="316">
        <f>C21*202</f>
        <v>187.86</v>
      </c>
      <c r="L12" s="312">
        <f>C21*400</f>
        <v>372</v>
      </c>
      <c r="M12" s="313">
        <f>C21*543</f>
        <v>504.99</v>
      </c>
      <c r="N12" s="316">
        <f>C21*609</f>
        <v>566.37</v>
      </c>
      <c r="O12" s="318">
        <f>C21*572</f>
        <v>531.96</v>
      </c>
      <c r="P12" s="318">
        <f>C21*349</f>
        <v>324.57</v>
      </c>
      <c r="Q12" s="133">
        <v>0</v>
      </c>
      <c r="S12" s="145">
        <f t="shared" si="0"/>
        <v>2749.0800000000004</v>
      </c>
    </row>
    <row r="13" spans="2:19" ht="14.25" thickBot="1">
      <c r="B13" s="144" t="s">
        <v>149</v>
      </c>
      <c r="C13" s="311">
        <f>C21*8</f>
        <v>7.44</v>
      </c>
      <c r="D13" s="311">
        <f>C21*24</f>
        <v>22.32</v>
      </c>
      <c r="E13" s="311">
        <f>C21*33</f>
        <v>30.69</v>
      </c>
      <c r="F13" s="312">
        <f>C21*38</f>
        <v>35.340000000000003</v>
      </c>
      <c r="G13" s="314">
        <f>C21*42</f>
        <v>39.06</v>
      </c>
      <c r="H13" s="316">
        <f>$C$21*43</f>
        <v>39.99</v>
      </c>
      <c r="I13" s="316">
        <f>$C$21*43</f>
        <v>39.99</v>
      </c>
      <c r="J13" s="313">
        <f>$C$21*43</f>
        <v>39.99</v>
      </c>
      <c r="K13" s="316">
        <f>C21*47</f>
        <v>43.71</v>
      </c>
      <c r="L13" s="312">
        <f>C21*152</f>
        <v>141.36000000000001</v>
      </c>
      <c r="M13" s="314">
        <f>C21*315</f>
        <v>292.95</v>
      </c>
      <c r="N13" s="316">
        <f>C21*441</f>
        <v>410.13</v>
      </c>
      <c r="O13" s="318">
        <f>C21*478</f>
        <v>444.54</v>
      </c>
      <c r="P13" s="318">
        <f>C21*329</f>
        <v>305.97000000000003</v>
      </c>
      <c r="Q13" s="133">
        <v>0</v>
      </c>
      <c r="S13" s="145">
        <f t="shared" si="0"/>
        <v>1893.48</v>
      </c>
    </row>
    <row r="14" spans="2:19">
      <c r="B14" s="132" t="s">
        <v>156</v>
      </c>
    </row>
    <row r="15" spans="2:19" ht="14.25" thickBot="1"/>
    <row r="16" spans="2:19">
      <c r="B16" s="139"/>
      <c r="C16" s="133">
        <v>5</v>
      </c>
      <c r="D16" s="133">
        <v>6</v>
      </c>
      <c r="E16" s="133">
        <v>7</v>
      </c>
      <c r="F16" s="134">
        <v>8</v>
      </c>
      <c r="G16" s="135">
        <v>9</v>
      </c>
      <c r="H16" s="136">
        <v>10</v>
      </c>
      <c r="I16" s="134">
        <v>11</v>
      </c>
      <c r="J16" s="135">
        <v>12</v>
      </c>
      <c r="K16" s="136">
        <v>13</v>
      </c>
      <c r="L16" s="134">
        <v>14</v>
      </c>
      <c r="M16" s="135">
        <v>15</v>
      </c>
      <c r="N16" s="136">
        <v>16</v>
      </c>
      <c r="O16" s="133">
        <v>17</v>
      </c>
      <c r="P16" s="133">
        <v>18</v>
      </c>
      <c r="Q16" s="133">
        <v>19</v>
      </c>
    </row>
    <row r="17" spans="2:17" ht="14.25" thickBot="1">
      <c r="B17" s="139" t="s">
        <v>161</v>
      </c>
      <c r="C17" s="138">
        <f>SUM(C4:C13)</f>
        <v>170.94</v>
      </c>
      <c r="D17" s="138">
        <f t="shared" ref="D17:Q17" si="3">SUM(D4:D13)</f>
        <v>1394.06</v>
      </c>
      <c r="E17" s="138">
        <f t="shared" si="3"/>
        <v>1855.9700000000003</v>
      </c>
      <c r="F17" s="140">
        <f t="shared" si="3"/>
        <v>2018.4199999999996</v>
      </c>
      <c r="G17" s="142">
        <f t="shared" si="3"/>
        <v>1987.6999999999996</v>
      </c>
      <c r="H17" s="141">
        <f t="shared" si="3"/>
        <v>1789.1499999999999</v>
      </c>
      <c r="I17" s="140">
        <f t="shared" si="3"/>
        <v>1556.48</v>
      </c>
      <c r="J17" s="142">
        <f t="shared" si="3"/>
        <v>1483.0600000000002</v>
      </c>
      <c r="K17" s="141">
        <f t="shared" si="3"/>
        <v>1647.0100000000002</v>
      </c>
      <c r="L17" s="140">
        <f t="shared" si="3"/>
        <v>1890.3700000000003</v>
      </c>
      <c r="M17" s="142">
        <f t="shared" si="3"/>
        <v>2020.4200000000003</v>
      </c>
      <c r="N17" s="141">
        <f t="shared" si="3"/>
        <v>1974.6200000000003</v>
      </c>
      <c r="O17" s="138">
        <f t="shared" si="3"/>
        <v>1707.59</v>
      </c>
      <c r="P17" s="138">
        <f t="shared" si="3"/>
        <v>1022.3</v>
      </c>
      <c r="Q17" s="139">
        <f t="shared" si="3"/>
        <v>0</v>
      </c>
    </row>
    <row r="20" spans="2:17">
      <c r="B20" s="132" t="s">
        <v>625</v>
      </c>
    </row>
    <row r="21" spans="2:17">
      <c r="B21" s="132" t="s">
        <v>626</v>
      </c>
      <c r="C21" s="132">
        <v>0.93</v>
      </c>
    </row>
  </sheetData>
  <mergeCells count="3">
    <mergeCell ref="B1:Q1"/>
    <mergeCell ref="B2:B3"/>
    <mergeCell ref="C2:Q2"/>
  </mergeCells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B149"/>
  <sheetViews>
    <sheetView workbookViewId="0">
      <selection activeCell="R20" sqref="R20"/>
    </sheetView>
  </sheetViews>
  <sheetFormatPr defaultRowHeight="13.5"/>
  <cols>
    <col min="2" max="2" width="18.125" customWidth="1"/>
    <col min="4" max="4" width="8.5" bestFit="1" customWidth="1"/>
    <col min="5" max="6" width="7.875" customWidth="1"/>
  </cols>
  <sheetData>
    <row r="1" spans="1:28">
      <c r="A1" t="s">
        <v>540</v>
      </c>
    </row>
    <row r="3" spans="1:28" s="1" customFormat="1">
      <c r="A3" s="81">
        <v>1</v>
      </c>
      <c r="B3" s="81" t="s">
        <v>162</v>
      </c>
    </row>
    <row r="4" spans="1:28" s="1" customFormat="1" ht="27">
      <c r="L4" s="257" t="s">
        <v>636</v>
      </c>
      <c r="M4" s="257" t="s">
        <v>635</v>
      </c>
      <c r="AA4" s="257" t="s">
        <v>636</v>
      </c>
      <c r="AB4" s="257" t="s">
        <v>635</v>
      </c>
    </row>
    <row r="5" spans="1:28" s="1" customFormat="1">
      <c r="B5" s="1" t="s">
        <v>163</v>
      </c>
    </row>
    <row r="6" spans="1:28" s="1" customFormat="1">
      <c r="B6" s="1" t="s">
        <v>164</v>
      </c>
    </row>
    <row r="7" spans="1:28" s="1" customFormat="1">
      <c r="B7" s="4" t="s">
        <v>166</v>
      </c>
      <c r="C7" s="4" t="s">
        <v>165</v>
      </c>
      <c r="D7" s="4">
        <v>1</v>
      </c>
      <c r="E7" s="4">
        <v>2</v>
      </c>
      <c r="F7" s="4">
        <v>3</v>
      </c>
      <c r="H7" s="298" t="s">
        <v>541</v>
      </c>
      <c r="I7" s="90" t="s">
        <v>542</v>
      </c>
      <c r="J7" s="90"/>
    </row>
    <row r="8" spans="1:28" s="1" customFormat="1">
      <c r="B8" s="2" t="s">
        <v>169</v>
      </c>
      <c r="C8" s="4" t="s">
        <v>167</v>
      </c>
      <c r="D8" s="2">
        <v>31.5</v>
      </c>
      <c r="E8" s="2">
        <v>31.9</v>
      </c>
      <c r="F8" s="2">
        <v>30.7</v>
      </c>
      <c r="H8" s="90">
        <v>1</v>
      </c>
      <c r="I8" s="1624" t="s">
        <v>4</v>
      </c>
      <c r="J8" s="1629"/>
    </row>
    <row r="9" spans="1:28" s="1" customFormat="1">
      <c r="B9" s="2" t="s">
        <v>170</v>
      </c>
      <c r="C9" s="4" t="s">
        <v>167</v>
      </c>
      <c r="D9" s="2">
        <v>-1.5</v>
      </c>
      <c r="E9" s="2">
        <v>-0.7</v>
      </c>
      <c r="F9" s="2">
        <v>-4.2</v>
      </c>
      <c r="H9" s="90">
        <v>2</v>
      </c>
      <c r="I9" s="1624" t="s">
        <v>5</v>
      </c>
      <c r="J9" s="1629"/>
    </row>
    <row r="10" spans="1:28" s="1" customFormat="1">
      <c r="B10" s="2" t="s">
        <v>201</v>
      </c>
      <c r="C10" s="4" t="s">
        <v>167</v>
      </c>
      <c r="D10" s="258">
        <v>28</v>
      </c>
      <c r="E10" s="258">
        <v>28</v>
      </c>
      <c r="F10" s="258">
        <v>28</v>
      </c>
      <c r="H10" s="90">
        <v>3</v>
      </c>
      <c r="I10" s="1624" t="s">
        <v>6</v>
      </c>
      <c r="J10" s="1629"/>
    </row>
    <row r="11" spans="1:28" s="1" customFormat="1">
      <c r="B11" s="2" t="s">
        <v>202</v>
      </c>
      <c r="C11" s="4" t="s">
        <v>167</v>
      </c>
      <c r="D11" s="258">
        <v>20</v>
      </c>
      <c r="E11" s="258">
        <v>20</v>
      </c>
      <c r="F11" s="258">
        <v>20</v>
      </c>
    </row>
    <row r="12" spans="1:28" s="1" customFormat="1">
      <c r="B12" s="147" t="s">
        <v>168</v>
      </c>
    </row>
    <row r="13" spans="1:28" s="1" customFormat="1"/>
    <row r="14" spans="1:28" s="1" customFormat="1">
      <c r="A14" s="81">
        <v>2</v>
      </c>
      <c r="B14" s="81" t="s">
        <v>171</v>
      </c>
    </row>
    <row r="15" spans="1:28" s="1" customFormat="1"/>
    <row r="16" spans="1:28" s="1" customFormat="1">
      <c r="B16" s="1" t="s">
        <v>178</v>
      </c>
    </row>
    <row r="17" spans="1:6" s="1" customFormat="1">
      <c r="B17" s="8" t="s">
        <v>26</v>
      </c>
      <c r="C17" s="9"/>
      <c r="D17" s="9"/>
      <c r="E17" s="297">
        <f>入力!$E$26</f>
        <v>0</v>
      </c>
      <c r="F17" s="11" t="s">
        <v>172</v>
      </c>
    </row>
    <row r="18" spans="1:6" s="1" customFormat="1">
      <c r="B18" s="8" t="s">
        <v>34</v>
      </c>
      <c r="C18" s="9"/>
      <c r="D18" s="9"/>
      <c r="E18" s="297">
        <f>入力!E27</f>
        <v>0</v>
      </c>
      <c r="F18" s="11" t="s">
        <v>173</v>
      </c>
    </row>
    <row r="19" spans="1:6" s="1" customFormat="1">
      <c r="B19" s="8" t="s">
        <v>175</v>
      </c>
      <c r="C19" s="9"/>
      <c r="D19" s="9"/>
      <c r="E19" s="8">
        <f>E18*E17</f>
        <v>0</v>
      </c>
      <c r="F19" s="11" t="s">
        <v>174</v>
      </c>
    </row>
    <row r="20" spans="1:6" s="1" customFormat="1"/>
    <row r="21" spans="1:6" s="1" customFormat="1">
      <c r="A21" s="81">
        <v>3</v>
      </c>
      <c r="B21" s="81" t="s">
        <v>176</v>
      </c>
    </row>
    <row r="22" spans="1:6" s="1" customFormat="1"/>
    <row r="23" spans="1:6" s="1" customFormat="1">
      <c r="B23" s="1" t="s">
        <v>82</v>
      </c>
    </row>
    <row r="24" spans="1:6" s="1" customFormat="1">
      <c r="B24" s="166" t="s">
        <v>179</v>
      </c>
    </row>
    <row r="25" spans="1:6" s="1" customFormat="1">
      <c r="B25" s="8" t="s">
        <v>177</v>
      </c>
      <c r="C25" s="11"/>
      <c r="D25" s="255">
        <f>IF(入力!C22="",3.55,入力!C22)</f>
        <v>3.55</v>
      </c>
    </row>
    <row r="26" spans="1:6" s="1" customFormat="1">
      <c r="B26" s="8" t="s">
        <v>3</v>
      </c>
      <c r="C26" s="11"/>
      <c r="D26" s="255">
        <f>IF(入力!C23="",3.9,入力!C23)</f>
        <v>3.95</v>
      </c>
    </row>
    <row r="28" spans="1:6">
      <c r="A28" s="81">
        <v>4</v>
      </c>
      <c r="B28" s="81" t="s">
        <v>203</v>
      </c>
      <c r="C28" s="1"/>
      <c r="D28" s="1"/>
    </row>
    <row r="29" spans="1:6">
      <c r="A29" s="81">
        <v>2</v>
      </c>
      <c r="B29" s="81" t="s">
        <v>203</v>
      </c>
      <c r="C29" s="1"/>
      <c r="D29" s="1"/>
    </row>
    <row r="30" spans="1:6">
      <c r="A30" s="81"/>
      <c r="B30" s="81"/>
      <c r="C30" s="1"/>
      <c r="D30" s="1"/>
    </row>
    <row r="31" spans="1:6">
      <c r="A31" s="1"/>
      <c r="B31" s="1" t="s">
        <v>191</v>
      </c>
      <c r="C31" s="1"/>
      <c r="D31" s="1"/>
    </row>
    <row r="32" spans="1:6">
      <c r="A32" s="1"/>
      <c r="B32" s="8" t="s">
        <v>192</v>
      </c>
      <c r="C32" s="16">
        <f>熱貫流率計算!H9</f>
        <v>3.91</v>
      </c>
      <c r="D32" s="11" t="s">
        <v>187</v>
      </c>
    </row>
    <row r="33" spans="1:4">
      <c r="A33" s="1"/>
      <c r="B33" s="8" t="s">
        <v>193</v>
      </c>
      <c r="C33" s="16">
        <f>熱貫流率計算!H78</f>
        <v>1.18</v>
      </c>
      <c r="D33" s="11" t="s">
        <v>187</v>
      </c>
    </row>
    <row r="34" spans="1:4">
      <c r="A34" s="1"/>
      <c r="B34" s="8" t="s">
        <v>204</v>
      </c>
      <c r="C34" s="309">
        <v>5.95</v>
      </c>
      <c r="D34" s="11" t="s">
        <v>187</v>
      </c>
    </row>
    <row r="35" spans="1:4">
      <c r="A35" s="1"/>
      <c r="B35" s="8" t="s">
        <v>624</v>
      </c>
      <c r="C35" s="9">
        <v>0.876</v>
      </c>
      <c r="D35" s="11"/>
    </row>
    <row r="36" spans="1:4">
      <c r="A36" s="1"/>
      <c r="B36" s="1"/>
      <c r="C36" s="1"/>
      <c r="D36" s="1"/>
    </row>
    <row r="37" spans="1:4">
      <c r="A37" s="1"/>
      <c r="B37" s="1" t="s">
        <v>205</v>
      </c>
      <c r="C37" s="1"/>
      <c r="D37" s="1"/>
    </row>
    <row r="38" spans="1:4">
      <c r="A38" s="1"/>
      <c r="B38" s="1" t="s">
        <v>627</v>
      </c>
      <c r="C38" s="1"/>
      <c r="D38" s="1"/>
    </row>
    <row r="39" spans="1:4">
      <c r="A39" s="1"/>
      <c r="B39" s="1" t="s">
        <v>628</v>
      </c>
      <c r="C39" s="1"/>
      <c r="D39" s="1"/>
    </row>
    <row r="40" spans="1:4">
      <c r="A40" s="1"/>
      <c r="B40" s="1"/>
      <c r="C40" s="1"/>
      <c r="D40" s="1"/>
    </row>
    <row r="41" spans="1:4">
      <c r="A41" s="1"/>
      <c r="B41" s="1" t="s">
        <v>206</v>
      </c>
      <c r="C41" s="1"/>
      <c r="D41" s="1"/>
    </row>
    <row r="42" spans="1:4">
      <c r="A42" s="1"/>
      <c r="B42" s="1" t="s">
        <v>363</v>
      </c>
      <c r="C42" s="1"/>
      <c r="D42" s="1"/>
    </row>
    <row r="139" spans="3:3">
      <c r="C139" t="s">
        <v>384</v>
      </c>
    </row>
    <row r="141" spans="3:3">
      <c r="C141" t="s">
        <v>385</v>
      </c>
    </row>
    <row r="143" spans="3:3">
      <c r="C143" t="s">
        <v>386</v>
      </c>
    </row>
    <row r="145" spans="3:3">
      <c r="C145" t="s">
        <v>388</v>
      </c>
    </row>
    <row r="147" spans="3:3">
      <c r="C147" t="s">
        <v>389</v>
      </c>
    </row>
    <row r="149" spans="3:3">
      <c r="C149" t="s">
        <v>390</v>
      </c>
    </row>
  </sheetData>
  <mergeCells count="3">
    <mergeCell ref="I8:J8"/>
    <mergeCell ref="I9:J9"/>
    <mergeCell ref="I10:J10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topLeftCell="A4"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Q2" s="1" t="s">
        <v>584</v>
      </c>
    </row>
    <row r="3" spans="2:30" ht="36">
      <c r="B3" s="8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819" t="s">
        <v>0</v>
      </c>
      <c r="R3" s="20" t="s">
        <v>585</v>
      </c>
      <c r="S3" s="20" t="s">
        <v>586</v>
      </c>
      <c r="T3" s="20" t="s">
        <v>8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8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821" t="s">
        <v>636</v>
      </c>
      <c r="M4" s="821" t="s">
        <v>635</v>
      </c>
      <c r="N4" s="820" t="s">
        <v>25</v>
      </c>
      <c r="O4" s="20" t="s">
        <v>32</v>
      </c>
      <c r="Q4" s="8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821" t="s">
        <v>636</v>
      </c>
      <c r="AB4" s="821" t="s">
        <v>635</v>
      </c>
      <c r="AC4" s="820" t="s">
        <v>25</v>
      </c>
      <c r="AD4" s="20" t="s">
        <v>32</v>
      </c>
    </row>
    <row r="5" spans="2:30">
      <c r="B5" s="809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809" t="s">
        <v>31</v>
      </c>
      <c r="Q5" s="809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809" t="s">
        <v>31</v>
      </c>
    </row>
    <row r="6" spans="2:30">
      <c r="B6" s="809">
        <v>1</v>
      </c>
      <c r="C6" s="3"/>
      <c r="D6" s="7">
        <f>結果!M112</f>
        <v>0</v>
      </c>
      <c r="E6" s="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809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809">
        <v>2</v>
      </c>
      <c r="C7" s="3"/>
      <c r="D7" s="3"/>
      <c r="E7" s="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809">
        <v>2</v>
      </c>
      <c r="R7" s="3"/>
      <c r="S7" s="3"/>
      <c r="T7" s="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809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809">
        <v>3</v>
      </c>
      <c r="R8" s="3"/>
      <c r="S8" s="3"/>
      <c r="T8" s="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809">
        <v>4</v>
      </c>
      <c r="C9" s="3"/>
      <c r="D9" s="3"/>
      <c r="E9" s="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809">
        <v>4</v>
      </c>
      <c r="R9" s="3"/>
      <c r="S9" s="3"/>
      <c r="T9" s="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809">
        <v>5</v>
      </c>
      <c r="C10" s="3"/>
      <c r="D10" s="3"/>
      <c r="E10" s="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824">
        <f>0.25*$C$13*E10*F10/1000</f>
        <v>0</v>
      </c>
      <c r="I10" s="824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809">
        <v>5</v>
      </c>
      <c r="R10" s="3"/>
      <c r="S10" s="3"/>
      <c r="T10" s="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824">
        <f>0.25*$R$13*T10*U10/1000</f>
        <v>0</v>
      </c>
      <c r="X10" s="824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809">
        <v>6</v>
      </c>
      <c r="C11" s="3"/>
      <c r="D11" s="3"/>
      <c r="E11" s="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809">
        <v>6</v>
      </c>
      <c r="R11" s="3"/>
      <c r="S11" s="3"/>
      <c r="T11" s="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809">
        <v>7</v>
      </c>
      <c r="C12" s="3"/>
      <c r="D12" s="3"/>
      <c r="E12" s="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809">
        <v>7</v>
      </c>
      <c r="R12" s="3"/>
      <c r="S12" s="3"/>
      <c r="T12" s="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809">
        <v>8</v>
      </c>
      <c r="C13" s="7">
        <f>結果!I112</f>
        <v>0</v>
      </c>
      <c r="D13" s="3"/>
      <c r="E13" s="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809">
        <v>8</v>
      </c>
      <c r="R13" s="7">
        <f>結果!I126</f>
        <v>0</v>
      </c>
      <c r="S13" s="3"/>
      <c r="T13" s="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809">
        <v>9</v>
      </c>
      <c r="C14" s="3"/>
      <c r="D14" s="3"/>
      <c r="E14" s="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809">
        <v>9</v>
      </c>
      <c r="R14" s="3"/>
      <c r="S14" s="3"/>
      <c r="T14" s="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809">
        <v>10</v>
      </c>
      <c r="C15" s="3"/>
      <c r="D15" s="3"/>
      <c r="E15" s="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824">
        <f>0.25*$C$13*E15*F15/1000</f>
        <v>0</v>
      </c>
      <c r="I15" s="824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809">
        <v>10</v>
      </c>
      <c r="R15" s="3"/>
      <c r="S15" s="3"/>
      <c r="T15" s="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824">
        <f>0.25*$R$13*T15*U15/1000</f>
        <v>0</v>
      </c>
      <c r="X15" s="824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809">
        <v>11</v>
      </c>
      <c r="C16" s="3"/>
      <c r="D16" s="3"/>
      <c r="E16" s="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809">
        <v>11</v>
      </c>
      <c r="R16" s="3"/>
      <c r="S16" s="3"/>
      <c r="T16" s="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809">
        <v>12</v>
      </c>
      <c r="C17" s="3"/>
      <c r="D17" s="3"/>
      <c r="E17" s="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809">
        <v>12</v>
      </c>
      <c r="R17" s="3"/>
      <c r="S17" s="3"/>
      <c r="T17" s="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4" spans="2:3">
      <c r="B44" s="826">
        <v>43927</v>
      </c>
      <c r="C44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topLeftCell="A7"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844" t="str">
        <f ca="1">RIGHT(CELL("filename",D1),LEN(CELL("filename",D1))-FIND("]",CELL("filename",D1)))</f>
        <v>さいたま市屋根</v>
      </c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Q2" s="1" t="s">
        <v>584</v>
      </c>
    </row>
    <row r="3" spans="2:30" ht="36">
      <c r="B3" s="6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19" t="s">
        <v>0</v>
      </c>
      <c r="R3" s="20" t="s">
        <v>585</v>
      </c>
      <c r="S3" s="20" t="s">
        <v>586</v>
      </c>
      <c r="T3" s="20" t="s">
        <v>8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6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821" t="s">
        <v>636</v>
      </c>
      <c r="M4" s="821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821" t="s">
        <v>636</v>
      </c>
      <c r="AB4" s="821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16" t="s">
        <v>31</v>
      </c>
      <c r="Q5" s="61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16" t="s">
        <v>31</v>
      </c>
    </row>
    <row r="6" spans="2:30">
      <c r="B6" s="616">
        <v>1</v>
      </c>
      <c r="C6" s="3"/>
      <c r="D6" s="7">
        <f>結果!M125</f>
        <v>0</v>
      </c>
      <c r="E6" s="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824">
        <f>0.25*$C$13*E10*F10/1000</f>
        <v>0</v>
      </c>
      <c r="I10" s="824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824">
        <f>0.25*$R$13*T10*U10/1000</f>
        <v>0</v>
      </c>
      <c r="X10" s="824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結果!I125</f>
        <v>0</v>
      </c>
      <c r="D13" s="3"/>
      <c r="E13" s="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結果!I126</f>
        <v>0</v>
      </c>
      <c r="S13" s="3"/>
      <c r="T13" s="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824">
        <f>0.25*$C$13*E15*F15/1000</f>
        <v>0</v>
      </c>
      <c r="I15" s="824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824">
        <f>0.25*$R$13*T15*U15/1000</f>
        <v>0</v>
      </c>
      <c r="X15" s="824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4" spans="2:3">
      <c r="B44" s="826">
        <v>43927</v>
      </c>
      <c r="C44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844" t="str">
        <f ca="1">RIGHT(CELL("filename",D1),LEN(CELL("filename",D1))-FIND("]",CELL("filename",D1)))</f>
        <v>さいたま市外壁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Q2" s="1" t="s">
        <v>584</v>
      </c>
    </row>
    <row r="3" spans="2:30" ht="36">
      <c r="B3" s="6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19" t="s">
        <v>0</v>
      </c>
      <c r="R3" s="20" t="s">
        <v>585</v>
      </c>
      <c r="S3" s="20" t="s">
        <v>586</v>
      </c>
      <c r="T3" s="20" t="s">
        <v>8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6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821" t="s">
        <v>636</v>
      </c>
      <c r="M4" s="821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821" t="s">
        <v>636</v>
      </c>
      <c r="AB4" s="821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16" t="s">
        <v>31</v>
      </c>
      <c r="Q5" s="61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16" t="s">
        <v>31</v>
      </c>
    </row>
    <row r="6" spans="2:30">
      <c r="B6" s="616">
        <v>1</v>
      </c>
      <c r="C6" s="3"/>
      <c r="D6" s="7">
        <f>結果!M135</f>
        <v>0</v>
      </c>
      <c r="E6" s="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結果!Q136</f>
        <v>0</v>
      </c>
      <c r="T6" s="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824">
        <f>0.25*$C$13*E10*F10/1000</f>
        <v>0</v>
      </c>
      <c r="I10" s="824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824">
        <f>0.25*$R$13*T10*U10/1000</f>
        <v>0</v>
      </c>
      <c r="X10" s="824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結果!I135</f>
        <v>0</v>
      </c>
      <c r="D13" s="3"/>
      <c r="E13" s="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結果!I136</f>
        <v>0</v>
      </c>
      <c r="S13" s="3"/>
      <c r="T13" s="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824">
        <f>0.25*$C$13*E15*F15/1000</f>
        <v>0</v>
      </c>
      <c r="I15" s="824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824">
        <f>0.25*$R$13*T15*U15/1000</f>
        <v>0</v>
      </c>
      <c r="X15" s="824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topLeftCell="A4"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844" t="str">
        <f ca="1">RIGHT(CELL("filename",D1),LEN(CELL("filename",D1))-FIND("]",CELL("filename",D1)))</f>
        <v>さいたま市窓断熱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Q2" s="1" t="s">
        <v>584</v>
      </c>
    </row>
    <row r="3" spans="2:30" ht="36">
      <c r="B3" s="619" t="s">
        <v>0</v>
      </c>
      <c r="C3" s="20" t="s">
        <v>40</v>
      </c>
      <c r="D3" s="20" t="s">
        <v>41</v>
      </c>
      <c r="E3" s="840" t="s">
        <v>1010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19" t="s">
        <v>0</v>
      </c>
      <c r="R3" s="20" t="s">
        <v>585</v>
      </c>
      <c r="S3" s="20" t="s">
        <v>586</v>
      </c>
      <c r="T3" s="840" t="s">
        <v>1010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619" t="s">
        <v>14</v>
      </c>
      <c r="C4" s="20" t="s">
        <v>16</v>
      </c>
      <c r="D4" s="20" t="s">
        <v>17</v>
      </c>
      <c r="E4" s="84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821" t="s">
        <v>636</v>
      </c>
      <c r="M4" s="821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84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821" t="s">
        <v>636</v>
      </c>
      <c r="AB4" s="821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841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16" t="s">
        <v>31</v>
      </c>
      <c r="Q5" s="616" t="s">
        <v>15</v>
      </c>
      <c r="R5" s="5" t="s">
        <v>12</v>
      </c>
      <c r="S5" s="5" t="s">
        <v>12</v>
      </c>
      <c r="T5" s="841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16" t="s">
        <v>31</v>
      </c>
    </row>
    <row r="6" spans="2:30">
      <c r="B6" s="616">
        <v>1</v>
      </c>
      <c r="C6" s="3"/>
      <c r="D6" s="7">
        <f>結果!M145</f>
        <v>0</v>
      </c>
      <c r="E6" s="842">
        <f>温度条件他根拠!E17*温度条件他根拠!E18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結果!Q146</f>
        <v>0</v>
      </c>
      <c r="T6" s="842">
        <f>温度条件他根拠!E17*温度条件他根拠!E18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>W6/Y6</f>
        <v>0</v>
      </c>
      <c r="AB6" s="7">
        <f t="shared" ref="AA6:AB17" si="1">X6/Z6</f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842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842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842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842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842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842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842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824">
        <f>0.25*$C$13*E10*F10/1000</f>
        <v>0</v>
      </c>
      <c r="I10" s="824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842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824">
        <f>0.25*$R$13*T10*U10/1000</f>
        <v>0</v>
      </c>
      <c r="X10" s="824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842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842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842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842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結果!I145</f>
        <v>0</v>
      </c>
      <c r="D13" s="3"/>
      <c r="E13" s="842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結果!I146</f>
        <v>0</v>
      </c>
      <c r="S13" s="3"/>
      <c r="T13" s="842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842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842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842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824">
        <f>0.25*$C$13*E15*F15/1000</f>
        <v>0</v>
      </c>
      <c r="I15" s="824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842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824">
        <f>0.25*$R$13*T15*U15/1000</f>
        <v>0</v>
      </c>
      <c r="X15" s="824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842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842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842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842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843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843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7" t="s">
        <v>1011</v>
      </c>
    </row>
    <row r="44" spans="2:3">
      <c r="B44" s="826">
        <v>43927</v>
      </c>
      <c r="C44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70C0"/>
  </sheetPr>
  <dimension ref="A1:BH67"/>
  <sheetViews>
    <sheetView tabSelected="1" view="pageBreakPreview" zoomScaleNormal="100" zoomScaleSheetLayoutView="100" workbookViewId="0">
      <selection activeCell="AM64" sqref="AM64"/>
    </sheetView>
  </sheetViews>
  <sheetFormatPr defaultRowHeight="13.5"/>
  <cols>
    <col min="1" max="36" width="2.625" style="670" customWidth="1"/>
    <col min="37" max="42" width="9" style="670"/>
    <col min="43" max="43" width="36.125" style="670" bestFit="1" customWidth="1"/>
    <col min="44" max="255" width="9" style="670"/>
    <col min="256" max="292" width="2.625" style="670" customWidth="1"/>
    <col min="293" max="511" width="9" style="670"/>
    <col min="512" max="548" width="2.625" style="670" customWidth="1"/>
    <col min="549" max="767" width="9" style="670"/>
    <col min="768" max="804" width="2.625" style="670" customWidth="1"/>
    <col min="805" max="1023" width="9" style="670"/>
    <col min="1024" max="1060" width="2.625" style="670" customWidth="1"/>
    <col min="1061" max="1279" width="9" style="670"/>
    <col min="1280" max="1316" width="2.625" style="670" customWidth="1"/>
    <col min="1317" max="1535" width="9" style="670"/>
    <col min="1536" max="1572" width="2.625" style="670" customWidth="1"/>
    <col min="1573" max="1791" width="9" style="670"/>
    <col min="1792" max="1828" width="2.625" style="670" customWidth="1"/>
    <col min="1829" max="2047" width="9" style="670"/>
    <col min="2048" max="2084" width="2.625" style="670" customWidth="1"/>
    <col min="2085" max="2303" width="9" style="670"/>
    <col min="2304" max="2340" width="2.625" style="670" customWidth="1"/>
    <col min="2341" max="2559" width="9" style="670"/>
    <col min="2560" max="2596" width="2.625" style="670" customWidth="1"/>
    <col min="2597" max="2815" width="9" style="670"/>
    <col min="2816" max="2852" width="2.625" style="670" customWidth="1"/>
    <col min="2853" max="3071" width="9" style="670"/>
    <col min="3072" max="3108" width="2.625" style="670" customWidth="1"/>
    <col min="3109" max="3327" width="9" style="670"/>
    <col min="3328" max="3364" width="2.625" style="670" customWidth="1"/>
    <col min="3365" max="3583" width="9" style="670"/>
    <col min="3584" max="3620" width="2.625" style="670" customWidth="1"/>
    <col min="3621" max="3839" width="9" style="670"/>
    <col min="3840" max="3876" width="2.625" style="670" customWidth="1"/>
    <col min="3877" max="4095" width="9" style="670"/>
    <col min="4096" max="4132" width="2.625" style="670" customWidth="1"/>
    <col min="4133" max="4351" width="9" style="670"/>
    <col min="4352" max="4388" width="2.625" style="670" customWidth="1"/>
    <col min="4389" max="4607" width="9" style="670"/>
    <col min="4608" max="4644" width="2.625" style="670" customWidth="1"/>
    <col min="4645" max="4863" width="9" style="670"/>
    <col min="4864" max="4900" width="2.625" style="670" customWidth="1"/>
    <col min="4901" max="5119" width="9" style="670"/>
    <col min="5120" max="5156" width="2.625" style="670" customWidth="1"/>
    <col min="5157" max="5375" width="9" style="670"/>
    <col min="5376" max="5412" width="2.625" style="670" customWidth="1"/>
    <col min="5413" max="5631" width="9" style="670"/>
    <col min="5632" max="5668" width="2.625" style="670" customWidth="1"/>
    <col min="5669" max="5887" width="9" style="670"/>
    <col min="5888" max="5924" width="2.625" style="670" customWidth="1"/>
    <col min="5925" max="6143" width="9" style="670"/>
    <col min="6144" max="6180" width="2.625" style="670" customWidth="1"/>
    <col min="6181" max="6399" width="9" style="670"/>
    <col min="6400" max="6436" width="2.625" style="670" customWidth="1"/>
    <col min="6437" max="6655" width="9" style="670"/>
    <col min="6656" max="6692" width="2.625" style="670" customWidth="1"/>
    <col min="6693" max="6911" width="9" style="670"/>
    <col min="6912" max="6948" width="2.625" style="670" customWidth="1"/>
    <col min="6949" max="7167" width="9" style="670"/>
    <col min="7168" max="7204" width="2.625" style="670" customWidth="1"/>
    <col min="7205" max="7423" width="9" style="670"/>
    <col min="7424" max="7460" width="2.625" style="670" customWidth="1"/>
    <col min="7461" max="7679" width="9" style="670"/>
    <col min="7680" max="7716" width="2.625" style="670" customWidth="1"/>
    <col min="7717" max="7935" width="9" style="670"/>
    <col min="7936" max="7972" width="2.625" style="670" customWidth="1"/>
    <col min="7973" max="8191" width="9" style="670"/>
    <col min="8192" max="8228" width="2.625" style="670" customWidth="1"/>
    <col min="8229" max="8447" width="9" style="670"/>
    <col min="8448" max="8484" width="2.625" style="670" customWidth="1"/>
    <col min="8485" max="8703" width="9" style="670"/>
    <col min="8704" max="8740" width="2.625" style="670" customWidth="1"/>
    <col min="8741" max="8959" width="9" style="670"/>
    <col min="8960" max="8996" width="2.625" style="670" customWidth="1"/>
    <col min="8997" max="9215" width="9" style="670"/>
    <col min="9216" max="9252" width="2.625" style="670" customWidth="1"/>
    <col min="9253" max="9471" width="9" style="670"/>
    <col min="9472" max="9508" width="2.625" style="670" customWidth="1"/>
    <col min="9509" max="9727" width="9" style="670"/>
    <col min="9728" max="9764" width="2.625" style="670" customWidth="1"/>
    <col min="9765" max="9983" width="9" style="670"/>
    <col min="9984" max="10020" width="2.625" style="670" customWidth="1"/>
    <col min="10021" max="10239" width="9" style="670"/>
    <col min="10240" max="10276" width="2.625" style="670" customWidth="1"/>
    <col min="10277" max="10495" width="9" style="670"/>
    <col min="10496" max="10532" width="2.625" style="670" customWidth="1"/>
    <col min="10533" max="10751" width="9" style="670"/>
    <col min="10752" max="10788" width="2.625" style="670" customWidth="1"/>
    <col min="10789" max="11007" width="9" style="670"/>
    <col min="11008" max="11044" width="2.625" style="670" customWidth="1"/>
    <col min="11045" max="11263" width="9" style="670"/>
    <col min="11264" max="11300" width="2.625" style="670" customWidth="1"/>
    <col min="11301" max="11519" width="9" style="670"/>
    <col min="11520" max="11556" width="2.625" style="670" customWidth="1"/>
    <col min="11557" max="11775" width="9" style="670"/>
    <col min="11776" max="11812" width="2.625" style="670" customWidth="1"/>
    <col min="11813" max="12031" width="9" style="670"/>
    <col min="12032" max="12068" width="2.625" style="670" customWidth="1"/>
    <col min="12069" max="12287" width="9" style="670"/>
    <col min="12288" max="12324" width="2.625" style="670" customWidth="1"/>
    <col min="12325" max="12543" width="9" style="670"/>
    <col min="12544" max="12580" width="2.625" style="670" customWidth="1"/>
    <col min="12581" max="12799" width="9" style="670"/>
    <col min="12800" max="12836" width="2.625" style="670" customWidth="1"/>
    <col min="12837" max="13055" width="9" style="670"/>
    <col min="13056" max="13092" width="2.625" style="670" customWidth="1"/>
    <col min="13093" max="13311" width="9" style="670"/>
    <col min="13312" max="13348" width="2.625" style="670" customWidth="1"/>
    <col min="13349" max="13567" width="9" style="670"/>
    <col min="13568" max="13604" width="2.625" style="670" customWidth="1"/>
    <col min="13605" max="13823" width="9" style="670"/>
    <col min="13824" max="13860" width="2.625" style="670" customWidth="1"/>
    <col min="13861" max="14079" width="9" style="670"/>
    <col min="14080" max="14116" width="2.625" style="670" customWidth="1"/>
    <col min="14117" max="14335" width="9" style="670"/>
    <col min="14336" max="14372" width="2.625" style="670" customWidth="1"/>
    <col min="14373" max="14591" width="9" style="670"/>
    <col min="14592" max="14628" width="2.625" style="670" customWidth="1"/>
    <col min="14629" max="14847" width="9" style="670"/>
    <col min="14848" max="14884" width="2.625" style="670" customWidth="1"/>
    <col min="14885" max="15103" width="9" style="670"/>
    <col min="15104" max="15140" width="2.625" style="670" customWidth="1"/>
    <col min="15141" max="15359" width="9" style="670"/>
    <col min="15360" max="15396" width="2.625" style="670" customWidth="1"/>
    <col min="15397" max="15615" width="9" style="670"/>
    <col min="15616" max="15652" width="2.625" style="670" customWidth="1"/>
    <col min="15653" max="15871" width="9" style="670"/>
    <col min="15872" max="15908" width="2.625" style="670" customWidth="1"/>
    <col min="15909" max="16127" width="9" style="670"/>
    <col min="16128" max="16164" width="2.625" style="670" customWidth="1"/>
    <col min="16165" max="16384" width="9" style="670"/>
  </cols>
  <sheetData>
    <row r="1" spans="1:60" s="666" customFormat="1" ht="17.25">
      <c r="A1" s="895" t="s">
        <v>1030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  <c r="AF1" s="896"/>
      <c r="AG1" s="896"/>
      <c r="AH1" s="896"/>
    </row>
    <row r="2" spans="1:60" s="668" customFormat="1" hidden="1">
      <c r="A2" s="667">
        <v>1</v>
      </c>
      <c r="B2" s="667">
        <v>2</v>
      </c>
      <c r="C2" s="667">
        <v>3</v>
      </c>
      <c r="D2" s="667">
        <v>4</v>
      </c>
      <c r="E2" s="667">
        <v>5</v>
      </c>
      <c r="F2" s="667">
        <v>6</v>
      </c>
      <c r="G2" s="667">
        <v>7</v>
      </c>
      <c r="H2" s="667">
        <v>8</v>
      </c>
      <c r="I2" s="667">
        <v>9</v>
      </c>
      <c r="J2" s="667">
        <v>10</v>
      </c>
      <c r="K2" s="667">
        <v>11</v>
      </c>
      <c r="L2" s="667">
        <v>12</v>
      </c>
      <c r="M2" s="667">
        <v>13</v>
      </c>
      <c r="N2" s="667">
        <v>14</v>
      </c>
      <c r="O2" s="667">
        <v>15</v>
      </c>
      <c r="P2" s="667">
        <v>16</v>
      </c>
      <c r="Q2" s="667">
        <v>17</v>
      </c>
      <c r="R2" s="667">
        <v>18</v>
      </c>
      <c r="S2" s="667">
        <v>19</v>
      </c>
      <c r="T2" s="667">
        <v>20</v>
      </c>
      <c r="U2" s="667">
        <v>21</v>
      </c>
      <c r="V2" s="667">
        <v>22</v>
      </c>
      <c r="W2" s="667">
        <v>23</v>
      </c>
      <c r="X2" s="667">
        <v>24</v>
      </c>
      <c r="Y2" s="667">
        <v>25</v>
      </c>
      <c r="Z2" s="667">
        <v>26</v>
      </c>
      <c r="AA2" s="667">
        <v>27</v>
      </c>
      <c r="AB2" s="667">
        <v>28</v>
      </c>
      <c r="AC2" s="667">
        <v>29</v>
      </c>
      <c r="AD2" s="667">
        <v>30</v>
      </c>
      <c r="AE2" s="667">
        <v>31</v>
      </c>
      <c r="AF2" s="667">
        <v>32</v>
      </c>
      <c r="AG2" s="667">
        <v>33</v>
      </c>
      <c r="AH2" s="667">
        <v>34</v>
      </c>
    </row>
    <row r="3" spans="1:60">
      <c r="A3" s="669" t="s">
        <v>543</v>
      </c>
    </row>
    <row r="4" spans="1:60" ht="27" customHeight="1">
      <c r="A4" s="909" t="s">
        <v>544</v>
      </c>
      <c r="B4" s="910"/>
      <c r="C4" s="910"/>
      <c r="D4" s="911"/>
      <c r="E4" s="897" t="s">
        <v>919</v>
      </c>
      <c r="F4" s="898"/>
      <c r="G4" s="898"/>
      <c r="H4" s="898"/>
      <c r="I4" s="899"/>
      <c r="J4" s="900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2"/>
    </row>
    <row r="5" spans="1:60" ht="27" customHeight="1">
      <c r="A5" s="912"/>
      <c r="B5" s="913"/>
      <c r="C5" s="913"/>
      <c r="D5" s="914"/>
      <c r="E5" s="897" t="s">
        <v>546</v>
      </c>
      <c r="F5" s="898"/>
      <c r="G5" s="898"/>
      <c r="H5" s="898"/>
      <c r="I5" s="899"/>
      <c r="J5" s="900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Z5" s="901"/>
      <c r="AA5" s="901"/>
      <c r="AB5" s="901"/>
      <c r="AC5" s="901"/>
      <c r="AD5" s="901"/>
      <c r="AE5" s="901"/>
      <c r="AF5" s="901"/>
      <c r="AG5" s="901"/>
      <c r="AH5" s="902"/>
    </row>
    <row r="6" spans="1:60" ht="14.25">
      <c r="A6" s="912"/>
      <c r="B6" s="913"/>
      <c r="C6" s="913"/>
      <c r="D6" s="914"/>
      <c r="E6" s="903" t="s">
        <v>913</v>
      </c>
      <c r="F6" s="904"/>
      <c r="G6" s="904"/>
      <c r="H6" s="904"/>
      <c r="I6" s="905"/>
      <c r="J6" s="906"/>
      <c r="K6" s="907"/>
      <c r="L6" s="907"/>
      <c r="M6" s="907"/>
      <c r="N6" s="907"/>
      <c r="O6" s="907"/>
      <c r="P6" s="907"/>
      <c r="Q6" s="907"/>
      <c r="R6" s="907"/>
      <c r="S6" s="907"/>
      <c r="T6" s="907"/>
      <c r="U6" s="907"/>
      <c r="V6" s="907"/>
      <c r="W6" s="907"/>
      <c r="X6" s="907"/>
      <c r="Y6" s="907"/>
      <c r="Z6" s="907"/>
      <c r="AA6" s="907"/>
      <c r="AB6" s="907"/>
      <c r="AC6" s="907"/>
      <c r="AD6" s="907"/>
      <c r="AE6" s="907"/>
      <c r="AF6" s="907"/>
      <c r="AG6" s="907"/>
      <c r="AH6" s="908"/>
      <c r="AI6" s="671"/>
      <c r="AJ6" s="671"/>
      <c r="AK6" s="671"/>
      <c r="AL6" s="671"/>
      <c r="AM6" s="671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671"/>
      <c r="AY6" s="671"/>
      <c r="AZ6" s="671"/>
      <c r="BA6" s="671"/>
      <c r="BB6" s="671"/>
      <c r="BC6" s="671"/>
      <c r="BD6" s="671"/>
      <c r="BE6" s="671"/>
      <c r="BF6" s="671"/>
    </row>
    <row r="7" spans="1:60" ht="27" customHeight="1">
      <c r="A7" s="912"/>
      <c r="B7" s="913"/>
      <c r="C7" s="913"/>
      <c r="D7" s="914"/>
      <c r="E7" s="903" t="s">
        <v>548</v>
      </c>
      <c r="F7" s="904"/>
      <c r="G7" s="904"/>
      <c r="H7" s="904"/>
      <c r="I7" s="905"/>
      <c r="J7" s="925"/>
      <c r="K7" s="926"/>
      <c r="L7" s="926"/>
      <c r="M7" s="926"/>
      <c r="N7" s="926"/>
      <c r="O7" s="926"/>
      <c r="P7" s="926"/>
      <c r="Q7" s="926"/>
      <c r="R7" s="926"/>
      <c r="S7" s="926"/>
      <c r="T7" s="927"/>
      <c r="U7" s="903" t="s">
        <v>918</v>
      </c>
      <c r="V7" s="904"/>
      <c r="W7" s="904"/>
      <c r="X7" s="904"/>
      <c r="Y7" s="905"/>
      <c r="Z7" s="928"/>
      <c r="AA7" s="929"/>
      <c r="AB7" s="929"/>
      <c r="AC7" s="929"/>
      <c r="AD7" s="929"/>
      <c r="AE7" s="929"/>
      <c r="AF7" s="929"/>
      <c r="AG7" s="929"/>
      <c r="AH7" s="930"/>
      <c r="AI7" s="672"/>
      <c r="AJ7" s="673"/>
      <c r="AK7" s="673"/>
      <c r="AL7" s="673"/>
      <c r="AM7" s="673"/>
      <c r="AN7" s="673"/>
      <c r="AO7" s="673"/>
      <c r="AP7" s="673"/>
      <c r="AQ7" s="673"/>
      <c r="AR7" s="673"/>
      <c r="AS7" s="673"/>
      <c r="AT7" s="671"/>
      <c r="AU7" s="671"/>
      <c r="AV7" s="671"/>
      <c r="AW7" s="671"/>
      <c r="AX7" s="671"/>
      <c r="AY7" s="671"/>
      <c r="AZ7" s="671"/>
      <c r="BA7" s="671"/>
      <c r="BB7" s="671"/>
      <c r="BC7" s="671"/>
      <c r="BD7" s="671"/>
      <c r="BE7" s="671"/>
      <c r="BF7" s="671"/>
      <c r="BG7" s="671"/>
      <c r="BH7" s="671"/>
    </row>
    <row r="8" spans="1:60" ht="27" customHeight="1">
      <c r="A8" s="915"/>
      <c r="B8" s="916"/>
      <c r="C8" s="916"/>
      <c r="D8" s="917"/>
      <c r="E8" s="903" t="s">
        <v>914</v>
      </c>
      <c r="F8" s="904"/>
      <c r="G8" s="904"/>
      <c r="H8" s="904"/>
      <c r="I8" s="905"/>
      <c r="J8" s="918"/>
      <c r="K8" s="919"/>
      <c r="L8" s="919"/>
      <c r="M8" s="919"/>
      <c r="N8" s="919"/>
      <c r="O8" s="674" t="s">
        <v>920</v>
      </c>
      <c r="P8" s="931" t="s">
        <v>549</v>
      </c>
      <c r="Q8" s="932"/>
      <c r="R8" s="932"/>
      <c r="S8" s="932"/>
      <c r="T8" s="933"/>
      <c r="U8" s="920"/>
      <c r="V8" s="921"/>
      <c r="W8" s="921"/>
      <c r="X8" s="921"/>
      <c r="Y8" s="675" t="s">
        <v>922</v>
      </c>
      <c r="Z8" s="931" t="s">
        <v>921</v>
      </c>
      <c r="AA8" s="932"/>
      <c r="AB8" s="932"/>
      <c r="AC8" s="932"/>
      <c r="AD8" s="933"/>
      <c r="AE8" s="922"/>
      <c r="AF8" s="923"/>
      <c r="AG8" s="923"/>
      <c r="AH8" s="924"/>
      <c r="AI8" s="671"/>
      <c r="AJ8" s="671"/>
      <c r="AK8" s="671"/>
      <c r="AL8" s="671"/>
      <c r="AM8" s="671"/>
      <c r="AN8" s="671"/>
      <c r="AO8" s="671"/>
      <c r="AP8" s="671"/>
      <c r="AQ8" s="671"/>
      <c r="AR8" s="671"/>
      <c r="AS8" s="671"/>
      <c r="AT8" s="671"/>
      <c r="AU8" s="671"/>
      <c r="AV8" s="671"/>
      <c r="AW8" s="671"/>
      <c r="AX8" s="671"/>
      <c r="AY8" s="671"/>
      <c r="AZ8" s="671"/>
      <c r="BA8" s="671"/>
      <c r="BB8" s="671"/>
      <c r="BC8" s="671"/>
      <c r="BD8" s="671"/>
      <c r="BE8" s="671"/>
      <c r="BF8" s="671"/>
    </row>
    <row r="9" spans="1:60" ht="27" customHeight="1">
      <c r="A9" s="934" t="s">
        <v>550</v>
      </c>
      <c r="B9" s="934"/>
      <c r="C9" s="934"/>
      <c r="D9" s="934"/>
      <c r="E9" s="897" t="s">
        <v>551</v>
      </c>
      <c r="F9" s="898"/>
      <c r="G9" s="898"/>
      <c r="H9" s="898"/>
      <c r="I9" s="899"/>
      <c r="J9" s="900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1"/>
      <c r="V9" s="901"/>
      <c r="W9" s="901"/>
      <c r="X9" s="901"/>
      <c r="Y9" s="901"/>
      <c r="Z9" s="901"/>
      <c r="AA9" s="901"/>
      <c r="AB9" s="901"/>
      <c r="AC9" s="901"/>
      <c r="AD9" s="901"/>
      <c r="AE9" s="901"/>
      <c r="AF9" s="901"/>
      <c r="AG9" s="901"/>
      <c r="AH9" s="902"/>
    </row>
    <row r="10" spans="1:60" ht="27" customHeight="1">
      <c r="A10" s="934"/>
      <c r="B10" s="934"/>
      <c r="C10" s="934"/>
      <c r="D10" s="934"/>
      <c r="E10" s="897" t="s">
        <v>552</v>
      </c>
      <c r="F10" s="898"/>
      <c r="G10" s="898"/>
      <c r="H10" s="898"/>
      <c r="I10" s="899"/>
      <c r="J10" s="906"/>
      <c r="K10" s="907"/>
      <c r="L10" s="907"/>
      <c r="M10" s="907"/>
      <c r="N10" s="907"/>
      <c r="O10" s="907"/>
      <c r="P10" s="907"/>
      <c r="Q10" s="907"/>
      <c r="R10" s="907"/>
      <c r="S10" s="907"/>
      <c r="T10" s="907"/>
      <c r="U10" s="90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8"/>
    </row>
    <row r="11" spans="1:60">
      <c r="A11" s="934"/>
      <c r="B11" s="934"/>
      <c r="C11" s="934"/>
      <c r="D11" s="934"/>
      <c r="E11" s="935" t="s">
        <v>553</v>
      </c>
      <c r="F11" s="935"/>
      <c r="G11" s="935"/>
      <c r="H11" s="935"/>
      <c r="I11" s="935"/>
      <c r="J11" s="935"/>
      <c r="K11" s="935"/>
      <c r="L11" s="935" t="s">
        <v>643</v>
      </c>
      <c r="M11" s="935"/>
      <c r="N11" s="935"/>
      <c r="O11" s="935"/>
      <c r="P11" s="935"/>
      <c r="Q11" s="935"/>
      <c r="R11" s="935" t="s">
        <v>644</v>
      </c>
      <c r="S11" s="935"/>
      <c r="T11" s="935"/>
      <c r="U11" s="935"/>
      <c r="V11" s="935"/>
      <c r="W11" s="935"/>
      <c r="X11" s="935" t="s">
        <v>815</v>
      </c>
      <c r="Y11" s="935"/>
      <c r="Z11" s="935"/>
      <c r="AA11" s="935"/>
      <c r="AB11" s="935"/>
      <c r="AC11" s="935"/>
      <c r="AD11" s="938" t="s">
        <v>554</v>
      </c>
      <c r="AE11" s="938"/>
      <c r="AF11" s="938"/>
      <c r="AG11" s="938"/>
      <c r="AH11" s="938"/>
    </row>
    <row r="12" spans="1:60" ht="24" customHeight="1">
      <c r="A12" s="934"/>
      <c r="B12" s="934"/>
      <c r="C12" s="934"/>
      <c r="D12" s="934"/>
      <c r="E12" s="935"/>
      <c r="F12" s="935"/>
      <c r="G12" s="935"/>
      <c r="H12" s="935"/>
      <c r="I12" s="935"/>
      <c r="J12" s="935"/>
      <c r="K12" s="935"/>
      <c r="L12" s="936">
        <f>原油換算!M17</f>
        <v>0</v>
      </c>
      <c r="M12" s="936"/>
      <c r="N12" s="936"/>
      <c r="O12" s="936"/>
      <c r="P12" s="936"/>
      <c r="Q12" s="936"/>
      <c r="R12" s="936">
        <f>原油換算!N17</f>
        <v>0</v>
      </c>
      <c r="S12" s="936"/>
      <c r="T12" s="936"/>
      <c r="U12" s="936"/>
      <c r="V12" s="936"/>
      <c r="W12" s="936"/>
      <c r="X12" s="936">
        <f>原油換算!O17</f>
        <v>0</v>
      </c>
      <c r="Y12" s="936"/>
      <c r="Z12" s="936"/>
      <c r="AA12" s="936"/>
      <c r="AB12" s="936"/>
      <c r="AC12" s="936"/>
      <c r="AD12" s="937">
        <f>AVERAGE(L12,R12,X12)</f>
        <v>0</v>
      </c>
      <c r="AE12" s="937"/>
      <c r="AF12" s="937"/>
      <c r="AG12" s="937"/>
      <c r="AH12" s="937"/>
    </row>
    <row r="13" spans="1:60" ht="18" customHeight="1">
      <c r="A13" s="939" t="s">
        <v>816</v>
      </c>
      <c r="B13" s="934"/>
      <c r="C13" s="934"/>
      <c r="D13" s="934"/>
      <c r="E13" s="940" t="s">
        <v>556</v>
      </c>
      <c r="F13" s="940"/>
      <c r="G13" s="940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38" t="s">
        <v>557</v>
      </c>
      <c r="T13" s="938"/>
      <c r="U13" s="938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</row>
    <row r="14" spans="1:60" ht="18" customHeight="1">
      <c r="A14" s="934"/>
      <c r="B14" s="934"/>
      <c r="C14" s="934"/>
      <c r="D14" s="934"/>
      <c r="E14" s="938" t="s">
        <v>558</v>
      </c>
      <c r="F14" s="938"/>
      <c r="G14" s="938"/>
      <c r="H14" s="941"/>
      <c r="I14" s="941"/>
      <c r="J14" s="941"/>
      <c r="K14" s="941"/>
      <c r="L14" s="941"/>
      <c r="M14" s="941"/>
      <c r="N14" s="941"/>
      <c r="O14" s="941"/>
      <c r="P14" s="941"/>
      <c r="Q14" s="941"/>
      <c r="R14" s="941"/>
      <c r="S14" s="938" t="s">
        <v>559</v>
      </c>
      <c r="T14" s="938"/>
      <c r="U14" s="938"/>
      <c r="V14" s="941"/>
      <c r="W14" s="941"/>
      <c r="X14" s="941"/>
      <c r="Y14" s="941"/>
      <c r="Z14" s="941"/>
      <c r="AA14" s="941"/>
      <c r="AB14" s="941"/>
      <c r="AC14" s="941"/>
      <c r="AD14" s="941"/>
      <c r="AE14" s="941"/>
      <c r="AF14" s="941"/>
      <c r="AG14" s="941"/>
      <c r="AH14" s="941"/>
    </row>
    <row r="15" spans="1:60" ht="18" customHeight="1">
      <c r="A15" s="934"/>
      <c r="B15" s="934"/>
      <c r="C15" s="934"/>
      <c r="D15" s="934"/>
      <c r="E15" s="938" t="s">
        <v>560</v>
      </c>
      <c r="F15" s="938"/>
      <c r="G15" s="938"/>
      <c r="H15" s="941"/>
      <c r="I15" s="941"/>
      <c r="J15" s="941"/>
      <c r="K15" s="941"/>
      <c r="L15" s="941"/>
      <c r="M15" s="941"/>
      <c r="N15" s="941"/>
      <c r="O15" s="941"/>
      <c r="P15" s="941"/>
      <c r="Q15" s="941"/>
      <c r="R15" s="941"/>
      <c r="S15" s="940" t="s">
        <v>561</v>
      </c>
      <c r="T15" s="940"/>
      <c r="U15" s="940"/>
      <c r="V15" s="942"/>
      <c r="W15" s="941"/>
      <c r="X15" s="941"/>
      <c r="Y15" s="941"/>
      <c r="Z15" s="941"/>
      <c r="AA15" s="941"/>
      <c r="AB15" s="941"/>
      <c r="AC15" s="941"/>
      <c r="AD15" s="941"/>
      <c r="AE15" s="941"/>
      <c r="AF15" s="941"/>
      <c r="AG15" s="941"/>
      <c r="AH15" s="941"/>
    </row>
    <row r="16" spans="1:60" ht="27" customHeight="1">
      <c r="A16" s="934"/>
      <c r="B16" s="934"/>
      <c r="C16" s="934"/>
      <c r="D16" s="934"/>
      <c r="E16" s="935" t="s">
        <v>817</v>
      </c>
      <c r="F16" s="935"/>
      <c r="G16" s="935"/>
      <c r="H16" s="935"/>
      <c r="I16" s="935"/>
      <c r="J16" s="906"/>
      <c r="K16" s="907"/>
      <c r="L16" s="907"/>
      <c r="M16" s="907"/>
      <c r="N16" s="907"/>
      <c r="O16" s="907"/>
      <c r="P16" s="907"/>
      <c r="Q16" s="907"/>
      <c r="R16" s="907"/>
      <c r="S16" s="907"/>
      <c r="T16" s="907"/>
      <c r="U16" s="90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7"/>
      <c r="AH16" s="908"/>
    </row>
    <row r="17" spans="1:34" ht="6" customHeight="1">
      <c r="A17" s="671"/>
      <c r="B17" s="676"/>
      <c r="C17" s="676"/>
      <c r="D17" s="676"/>
      <c r="E17" s="677"/>
      <c r="F17" s="677"/>
      <c r="G17" s="677"/>
      <c r="H17" s="677"/>
      <c r="I17" s="677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/>
      <c r="W17" s="852"/>
      <c r="X17" s="852"/>
      <c r="Y17" s="852"/>
      <c r="Z17" s="852"/>
      <c r="AA17" s="852"/>
      <c r="AB17" s="852"/>
      <c r="AC17" s="852"/>
      <c r="AD17" s="852"/>
      <c r="AE17" s="852"/>
      <c r="AF17" s="852"/>
      <c r="AG17" s="852"/>
      <c r="AH17" s="853"/>
    </row>
    <row r="18" spans="1:34" ht="12.6" customHeight="1">
      <c r="A18" s="678" t="s">
        <v>634</v>
      </c>
      <c r="B18" s="676"/>
      <c r="C18" s="676"/>
      <c r="D18" s="676"/>
      <c r="E18" s="677"/>
      <c r="F18" s="677"/>
      <c r="G18" s="677"/>
      <c r="H18" s="677"/>
      <c r="I18" s="671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3"/>
    </row>
    <row r="19" spans="1:34" ht="27" customHeight="1">
      <c r="A19" s="939" t="s">
        <v>564</v>
      </c>
      <c r="B19" s="934"/>
      <c r="C19" s="934"/>
      <c r="D19" s="934"/>
      <c r="E19" s="943" t="s">
        <v>545</v>
      </c>
      <c r="F19" s="944"/>
      <c r="G19" s="944"/>
      <c r="H19" s="944"/>
      <c r="I19" s="945"/>
      <c r="J19" s="946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947"/>
      <c r="AB19" s="947"/>
      <c r="AC19" s="947"/>
      <c r="AD19" s="947"/>
      <c r="AE19" s="947"/>
      <c r="AF19" s="947"/>
      <c r="AG19" s="947"/>
      <c r="AH19" s="948"/>
    </row>
    <row r="20" spans="1:34" ht="27" customHeight="1">
      <c r="A20" s="934"/>
      <c r="B20" s="934"/>
      <c r="C20" s="934"/>
      <c r="D20" s="934"/>
      <c r="E20" s="943" t="s">
        <v>546</v>
      </c>
      <c r="F20" s="944"/>
      <c r="G20" s="944"/>
      <c r="H20" s="944"/>
      <c r="I20" s="945"/>
      <c r="J20" s="946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8"/>
    </row>
    <row r="21" spans="1:34" ht="27" customHeight="1">
      <c r="A21" s="934"/>
      <c r="B21" s="934"/>
      <c r="C21" s="934"/>
      <c r="D21" s="934"/>
      <c r="E21" s="931" t="s">
        <v>547</v>
      </c>
      <c r="F21" s="932"/>
      <c r="G21" s="932"/>
      <c r="H21" s="932"/>
      <c r="I21" s="933"/>
      <c r="J21" s="949" t="s">
        <v>563</v>
      </c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0"/>
      <c r="AH21" s="951"/>
    </row>
    <row r="22" spans="1:34" ht="27" customHeight="1">
      <c r="A22" s="934"/>
      <c r="B22" s="934"/>
      <c r="C22" s="934"/>
      <c r="D22" s="934"/>
      <c r="E22" s="931" t="s">
        <v>597</v>
      </c>
      <c r="F22" s="932"/>
      <c r="G22" s="932"/>
      <c r="H22" s="932"/>
      <c r="I22" s="933"/>
      <c r="J22" s="946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8"/>
      <c r="V22" s="946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8"/>
    </row>
    <row r="23" spans="1:34" ht="18" customHeight="1">
      <c r="A23" s="934" t="s">
        <v>555</v>
      </c>
      <c r="B23" s="934"/>
      <c r="C23" s="934"/>
      <c r="D23" s="934"/>
      <c r="E23" s="940" t="s">
        <v>556</v>
      </c>
      <c r="F23" s="940"/>
      <c r="G23" s="940"/>
      <c r="H23" s="925"/>
      <c r="I23" s="926"/>
      <c r="J23" s="926"/>
      <c r="K23" s="926"/>
      <c r="L23" s="926"/>
      <c r="M23" s="926"/>
      <c r="N23" s="926"/>
      <c r="O23" s="926"/>
      <c r="P23" s="926"/>
      <c r="Q23" s="926"/>
      <c r="R23" s="927"/>
      <c r="S23" s="938" t="s">
        <v>557</v>
      </c>
      <c r="T23" s="938"/>
      <c r="U23" s="938"/>
      <c r="V23" s="925"/>
      <c r="W23" s="926"/>
      <c r="X23" s="926"/>
      <c r="Y23" s="926"/>
      <c r="Z23" s="926"/>
      <c r="AA23" s="926"/>
      <c r="AB23" s="926"/>
      <c r="AC23" s="926"/>
      <c r="AD23" s="926"/>
      <c r="AE23" s="926"/>
      <c r="AF23" s="926"/>
      <c r="AG23" s="926"/>
      <c r="AH23" s="927"/>
    </row>
    <row r="24" spans="1:34" ht="18" customHeight="1">
      <c r="A24" s="934"/>
      <c r="B24" s="934"/>
      <c r="C24" s="934"/>
      <c r="D24" s="934"/>
      <c r="E24" s="938" t="s">
        <v>558</v>
      </c>
      <c r="F24" s="938"/>
      <c r="G24" s="938"/>
      <c r="H24" s="925"/>
      <c r="I24" s="926"/>
      <c r="J24" s="926"/>
      <c r="K24" s="926"/>
      <c r="L24" s="926"/>
      <c r="M24" s="926"/>
      <c r="N24" s="926"/>
      <c r="O24" s="926"/>
      <c r="P24" s="926"/>
      <c r="Q24" s="926"/>
      <c r="R24" s="927"/>
      <c r="S24" s="938" t="s">
        <v>559</v>
      </c>
      <c r="T24" s="938"/>
      <c r="U24" s="938"/>
      <c r="V24" s="941"/>
      <c r="W24" s="941"/>
      <c r="X24" s="941"/>
      <c r="Y24" s="941"/>
      <c r="Z24" s="941"/>
      <c r="AA24" s="941"/>
      <c r="AB24" s="941"/>
      <c r="AC24" s="941"/>
      <c r="AD24" s="941"/>
      <c r="AE24" s="941"/>
      <c r="AF24" s="941"/>
      <c r="AG24" s="941"/>
      <c r="AH24" s="941"/>
    </row>
    <row r="25" spans="1:34" ht="18" customHeight="1">
      <c r="A25" s="934"/>
      <c r="B25" s="934"/>
      <c r="C25" s="934"/>
      <c r="D25" s="934"/>
      <c r="E25" s="938" t="s">
        <v>560</v>
      </c>
      <c r="F25" s="938"/>
      <c r="G25" s="938"/>
      <c r="H25" s="925"/>
      <c r="I25" s="926"/>
      <c r="J25" s="926"/>
      <c r="K25" s="926"/>
      <c r="L25" s="926"/>
      <c r="M25" s="926"/>
      <c r="N25" s="926"/>
      <c r="O25" s="926"/>
      <c r="P25" s="926"/>
      <c r="Q25" s="926"/>
      <c r="R25" s="927"/>
      <c r="S25" s="940" t="s">
        <v>561</v>
      </c>
      <c r="T25" s="940"/>
      <c r="U25" s="940"/>
      <c r="V25" s="942"/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941"/>
      <c r="AH25" s="941"/>
    </row>
    <row r="26" spans="1:34" ht="27" customHeight="1">
      <c r="A26" s="934"/>
      <c r="B26" s="934"/>
      <c r="C26" s="934"/>
      <c r="D26" s="934"/>
      <c r="E26" s="935" t="s">
        <v>562</v>
      </c>
      <c r="F26" s="935"/>
      <c r="G26" s="935"/>
      <c r="H26" s="935"/>
      <c r="I26" s="935"/>
      <c r="J26" s="949" t="s">
        <v>563</v>
      </c>
      <c r="K26" s="947"/>
      <c r="L26" s="947"/>
      <c r="M26" s="947"/>
      <c r="N26" s="947"/>
      <c r="O26" s="947"/>
      <c r="P26" s="947"/>
      <c r="Q26" s="947"/>
      <c r="R26" s="947"/>
      <c r="S26" s="947"/>
      <c r="T26" s="947"/>
      <c r="U26" s="947"/>
      <c r="V26" s="947"/>
      <c r="W26" s="947"/>
      <c r="X26" s="947"/>
      <c r="Y26" s="947"/>
      <c r="Z26" s="947"/>
      <c r="AA26" s="947"/>
      <c r="AB26" s="947"/>
      <c r="AC26" s="947"/>
      <c r="AD26" s="947"/>
      <c r="AE26" s="947"/>
      <c r="AF26" s="947"/>
      <c r="AG26" s="947"/>
      <c r="AH26" s="948"/>
    </row>
    <row r="27" spans="1:34" ht="6" customHeight="1">
      <c r="A27" s="676"/>
      <c r="B27" s="676"/>
      <c r="C27" s="676"/>
      <c r="D27" s="676"/>
      <c r="E27" s="676"/>
      <c r="F27" s="676"/>
      <c r="G27" s="676"/>
      <c r="H27" s="676"/>
      <c r="I27" s="676"/>
      <c r="J27" s="676"/>
      <c r="K27" s="676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854"/>
    </row>
    <row r="28" spans="1:34" ht="12.6" customHeight="1">
      <c r="A28" s="678" t="s">
        <v>633</v>
      </c>
      <c r="B28" s="676"/>
      <c r="C28" s="676"/>
      <c r="D28" s="676"/>
      <c r="E28" s="677"/>
      <c r="F28" s="677"/>
      <c r="G28" s="677"/>
      <c r="H28" s="677"/>
      <c r="I28" s="671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3"/>
    </row>
    <row r="29" spans="1:34" ht="27" customHeight="1">
      <c r="A29" s="939" t="s">
        <v>565</v>
      </c>
      <c r="B29" s="934"/>
      <c r="C29" s="934"/>
      <c r="D29" s="934"/>
      <c r="E29" s="943" t="s">
        <v>545</v>
      </c>
      <c r="F29" s="944"/>
      <c r="G29" s="944"/>
      <c r="H29" s="944"/>
      <c r="I29" s="945"/>
      <c r="J29" s="946"/>
      <c r="K29" s="947"/>
      <c r="L29" s="947"/>
      <c r="M29" s="947"/>
      <c r="N29" s="947"/>
      <c r="O29" s="947"/>
      <c r="P29" s="947"/>
      <c r="Q29" s="947"/>
      <c r="R29" s="947"/>
      <c r="S29" s="947"/>
      <c r="T29" s="947"/>
      <c r="U29" s="947"/>
      <c r="V29" s="947"/>
      <c r="W29" s="947"/>
      <c r="X29" s="947"/>
      <c r="Y29" s="947"/>
      <c r="Z29" s="947"/>
      <c r="AA29" s="947"/>
      <c r="AB29" s="947"/>
      <c r="AC29" s="947"/>
      <c r="AD29" s="947"/>
      <c r="AE29" s="947"/>
      <c r="AF29" s="947"/>
      <c r="AG29" s="947"/>
      <c r="AH29" s="948"/>
    </row>
    <row r="30" spans="1:34" ht="27" customHeight="1">
      <c r="A30" s="934"/>
      <c r="B30" s="934"/>
      <c r="C30" s="934"/>
      <c r="D30" s="934"/>
      <c r="E30" s="943" t="s">
        <v>546</v>
      </c>
      <c r="F30" s="944"/>
      <c r="G30" s="944"/>
      <c r="H30" s="944"/>
      <c r="I30" s="945"/>
      <c r="J30" s="946"/>
      <c r="K30" s="947"/>
      <c r="L30" s="947"/>
      <c r="M30" s="947"/>
      <c r="N30" s="947"/>
      <c r="O30" s="947"/>
      <c r="P30" s="947"/>
      <c r="Q30" s="947"/>
      <c r="R30" s="947"/>
      <c r="S30" s="947"/>
      <c r="T30" s="947"/>
      <c r="U30" s="947"/>
      <c r="V30" s="947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  <c r="AG30" s="947"/>
      <c r="AH30" s="948"/>
    </row>
    <row r="31" spans="1:34" ht="27" customHeight="1">
      <c r="A31" s="934"/>
      <c r="B31" s="934"/>
      <c r="C31" s="934"/>
      <c r="D31" s="934"/>
      <c r="E31" s="931" t="s">
        <v>547</v>
      </c>
      <c r="F31" s="932"/>
      <c r="G31" s="932"/>
      <c r="H31" s="932"/>
      <c r="I31" s="933"/>
      <c r="J31" s="949" t="s">
        <v>563</v>
      </c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0"/>
      <c r="Y31" s="950"/>
      <c r="Z31" s="950"/>
      <c r="AA31" s="950"/>
      <c r="AB31" s="950"/>
      <c r="AC31" s="950"/>
      <c r="AD31" s="950"/>
      <c r="AE31" s="950"/>
      <c r="AF31" s="950"/>
      <c r="AG31" s="950"/>
      <c r="AH31" s="951"/>
    </row>
    <row r="32" spans="1:34" ht="18" customHeight="1">
      <c r="A32" s="934" t="s">
        <v>555</v>
      </c>
      <c r="B32" s="934"/>
      <c r="C32" s="934"/>
      <c r="D32" s="934"/>
      <c r="E32" s="940" t="s">
        <v>556</v>
      </c>
      <c r="F32" s="940"/>
      <c r="G32" s="940"/>
      <c r="H32" s="925"/>
      <c r="I32" s="926"/>
      <c r="J32" s="926"/>
      <c r="K32" s="926"/>
      <c r="L32" s="926"/>
      <c r="M32" s="926"/>
      <c r="N32" s="926"/>
      <c r="O32" s="926"/>
      <c r="P32" s="926"/>
      <c r="Q32" s="926"/>
      <c r="R32" s="927"/>
      <c r="S32" s="938" t="s">
        <v>557</v>
      </c>
      <c r="T32" s="938"/>
      <c r="U32" s="938"/>
      <c r="V32" s="925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7"/>
    </row>
    <row r="33" spans="1:34" ht="18" customHeight="1">
      <c r="A33" s="934"/>
      <c r="B33" s="934"/>
      <c r="C33" s="934"/>
      <c r="D33" s="934"/>
      <c r="E33" s="938" t="s">
        <v>558</v>
      </c>
      <c r="F33" s="938"/>
      <c r="G33" s="938"/>
      <c r="H33" s="925"/>
      <c r="I33" s="926"/>
      <c r="J33" s="926"/>
      <c r="K33" s="926"/>
      <c r="L33" s="926"/>
      <c r="M33" s="926"/>
      <c r="N33" s="926"/>
      <c r="O33" s="926"/>
      <c r="P33" s="926"/>
      <c r="Q33" s="926"/>
      <c r="R33" s="927"/>
      <c r="S33" s="938" t="s">
        <v>559</v>
      </c>
      <c r="T33" s="938"/>
      <c r="U33" s="938"/>
      <c r="V33" s="941"/>
      <c r="W33" s="941"/>
      <c r="X33" s="941"/>
      <c r="Y33" s="941"/>
      <c r="Z33" s="941"/>
      <c r="AA33" s="941"/>
      <c r="AB33" s="941"/>
      <c r="AC33" s="941"/>
      <c r="AD33" s="941"/>
      <c r="AE33" s="941"/>
      <c r="AF33" s="941"/>
      <c r="AG33" s="941"/>
      <c r="AH33" s="941"/>
    </row>
    <row r="34" spans="1:34" ht="18" customHeight="1">
      <c r="A34" s="934"/>
      <c r="B34" s="934"/>
      <c r="C34" s="934"/>
      <c r="D34" s="934"/>
      <c r="E34" s="938" t="s">
        <v>560</v>
      </c>
      <c r="F34" s="938"/>
      <c r="G34" s="938"/>
      <c r="H34" s="925"/>
      <c r="I34" s="926"/>
      <c r="J34" s="926"/>
      <c r="K34" s="926"/>
      <c r="L34" s="926"/>
      <c r="M34" s="926"/>
      <c r="N34" s="926"/>
      <c r="O34" s="926"/>
      <c r="P34" s="926"/>
      <c r="Q34" s="926"/>
      <c r="R34" s="927"/>
      <c r="S34" s="940" t="s">
        <v>561</v>
      </c>
      <c r="T34" s="940"/>
      <c r="U34" s="940"/>
      <c r="V34" s="942"/>
      <c r="W34" s="941"/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941"/>
    </row>
    <row r="35" spans="1:34" ht="27" customHeight="1">
      <c r="A35" s="934"/>
      <c r="B35" s="934"/>
      <c r="C35" s="934"/>
      <c r="D35" s="934"/>
      <c r="E35" s="935" t="s">
        <v>562</v>
      </c>
      <c r="F35" s="935"/>
      <c r="G35" s="935"/>
      <c r="H35" s="935"/>
      <c r="I35" s="935"/>
      <c r="J35" s="949" t="s">
        <v>563</v>
      </c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950"/>
      <c r="AF35" s="950"/>
      <c r="AG35" s="950"/>
      <c r="AH35" s="951"/>
    </row>
    <row r="36" spans="1:34" ht="13.5" customHeight="1">
      <c r="A36" s="676"/>
      <c r="B36" s="676"/>
      <c r="C36" s="676"/>
      <c r="D36" s="676"/>
      <c r="E36" s="677"/>
      <c r="F36" s="677"/>
      <c r="G36" s="677"/>
      <c r="H36" s="677"/>
      <c r="I36" s="677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52"/>
      <c r="AD36" s="852"/>
      <c r="AE36" s="852"/>
      <c r="AF36" s="852"/>
      <c r="AG36" s="852"/>
      <c r="AH36" s="853"/>
    </row>
    <row r="37" spans="1:34" ht="13.5" customHeight="1">
      <c r="A37" s="671" t="s">
        <v>566</v>
      </c>
      <c r="B37" s="676"/>
      <c r="C37" s="676"/>
      <c r="D37" s="676"/>
      <c r="E37" s="676"/>
      <c r="F37" s="676"/>
      <c r="G37" s="676"/>
      <c r="H37" s="676"/>
      <c r="I37" s="676"/>
      <c r="J37" s="676"/>
      <c r="K37" s="676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79"/>
      <c r="AF37" s="679"/>
      <c r="AG37" s="679"/>
      <c r="AH37" s="854"/>
    </row>
    <row r="38" spans="1:34" ht="20.100000000000001" customHeight="1">
      <c r="A38" s="884" t="s">
        <v>923</v>
      </c>
      <c r="B38" s="885"/>
      <c r="C38" s="885"/>
      <c r="D38" s="885"/>
      <c r="E38" s="887"/>
      <c r="F38" s="887"/>
      <c r="G38" s="887"/>
      <c r="H38" s="889" t="s">
        <v>567</v>
      </c>
      <c r="I38" s="890"/>
      <c r="J38" s="890"/>
      <c r="K38" s="890"/>
      <c r="L38" s="890"/>
      <c r="M38" s="890"/>
      <c r="N38" s="890"/>
      <c r="O38" s="890"/>
      <c r="P38" s="890"/>
      <c r="Q38" s="890"/>
      <c r="R38" s="890"/>
      <c r="S38" s="891"/>
      <c r="T38" s="887"/>
      <c r="U38" s="887"/>
      <c r="V38" s="887"/>
      <c r="W38" s="875" t="s">
        <v>568</v>
      </c>
      <c r="X38" s="875"/>
      <c r="Y38" s="875"/>
      <c r="Z38" s="875"/>
      <c r="AA38" s="875"/>
      <c r="AB38" s="875"/>
      <c r="AC38" s="875"/>
      <c r="AD38" s="875"/>
      <c r="AE38" s="875"/>
      <c r="AF38" s="875"/>
      <c r="AG38" s="875"/>
      <c r="AH38" s="875"/>
    </row>
    <row r="39" spans="1:34" ht="20.100000000000001" customHeight="1">
      <c r="A39" s="886"/>
      <c r="B39" s="886"/>
      <c r="C39" s="886"/>
      <c r="D39" s="886"/>
      <c r="E39" s="888"/>
      <c r="F39" s="888"/>
      <c r="G39" s="888"/>
      <c r="H39" s="892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4"/>
      <c r="T39" s="888"/>
      <c r="U39" s="888"/>
      <c r="V39" s="888"/>
      <c r="W39" s="875"/>
      <c r="X39" s="875"/>
      <c r="Y39" s="875"/>
      <c r="Z39" s="875"/>
      <c r="AA39" s="875"/>
      <c r="AB39" s="875"/>
      <c r="AC39" s="875"/>
      <c r="AD39" s="875"/>
      <c r="AE39" s="875"/>
      <c r="AF39" s="875"/>
      <c r="AG39" s="875"/>
      <c r="AH39" s="875"/>
    </row>
    <row r="40" spans="1:34" ht="30" customHeight="1">
      <c r="A40" s="876" t="s">
        <v>579</v>
      </c>
      <c r="B40" s="877"/>
      <c r="C40" s="877"/>
      <c r="D40" s="877"/>
      <c r="E40" s="877"/>
      <c r="F40" s="877"/>
      <c r="G40" s="877"/>
      <c r="H40" s="877"/>
      <c r="I40" s="878"/>
      <c r="J40" s="879"/>
      <c r="K40" s="880"/>
      <c r="L40" s="880"/>
      <c r="M40" s="881" t="s">
        <v>912</v>
      </c>
      <c r="N40" s="881"/>
      <c r="O40" s="881"/>
      <c r="P40" s="881"/>
      <c r="Q40" s="882"/>
      <c r="R40" s="883" t="s">
        <v>580</v>
      </c>
      <c r="S40" s="874"/>
      <c r="T40" s="851"/>
      <c r="U40" s="851"/>
      <c r="V40" s="305" t="s">
        <v>581</v>
      </c>
      <c r="W40" s="851"/>
      <c r="X40" s="851"/>
      <c r="Y40" s="305" t="s">
        <v>582</v>
      </c>
      <c r="Z40" s="305" t="s">
        <v>583</v>
      </c>
      <c r="AA40" s="874" t="s">
        <v>580</v>
      </c>
      <c r="AB40" s="874"/>
      <c r="AC40" s="851"/>
      <c r="AD40" s="851"/>
      <c r="AE40" s="305" t="s">
        <v>581</v>
      </c>
      <c r="AF40" s="851"/>
      <c r="AG40" s="851"/>
      <c r="AH40" s="306" t="s">
        <v>582</v>
      </c>
    </row>
    <row r="41" spans="1:34">
      <c r="A41" s="676"/>
      <c r="B41" s="678"/>
      <c r="C41" s="676"/>
      <c r="D41" s="676"/>
      <c r="E41" s="676"/>
      <c r="F41" s="676"/>
      <c r="G41" s="676"/>
      <c r="H41" s="676"/>
      <c r="I41" s="676"/>
      <c r="J41" s="676"/>
      <c r="K41" s="676"/>
      <c r="L41" s="679"/>
      <c r="M41" s="679"/>
      <c r="N41" s="679"/>
      <c r="O41" s="679"/>
      <c r="P41" s="679"/>
      <c r="Q41" s="679"/>
      <c r="R41" s="679"/>
      <c r="S41" s="679"/>
      <c r="T41" s="679"/>
      <c r="U41" s="679"/>
      <c r="V41" s="679"/>
      <c r="W41" s="679"/>
      <c r="X41" s="679"/>
      <c r="Y41" s="679"/>
      <c r="Z41" s="679"/>
      <c r="AA41" s="679"/>
      <c r="AB41" s="679"/>
      <c r="AC41" s="679"/>
      <c r="AD41" s="679"/>
      <c r="AE41" s="679"/>
      <c r="AF41" s="679"/>
      <c r="AG41" s="679"/>
      <c r="AH41" s="679"/>
    </row>
    <row r="42" spans="1:34" ht="18" customHeight="1"/>
    <row r="43" spans="1:34" ht="18" customHeight="1"/>
    <row r="44" spans="1:34" ht="18" hidden="1" customHeight="1">
      <c r="B44" s="670" t="s">
        <v>818</v>
      </c>
      <c r="N44" s="670" t="s">
        <v>818</v>
      </c>
    </row>
    <row r="45" spans="1:34" ht="18" hidden="1" customHeight="1">
      <c r="B45" s="680" t="s">
        <v>820</v>
      </c>
      <c r="N45" s="680" t="str">
        <f>SUBSTITUTE(B45,LEFT(B45,2),"")</f>
        <v>農業，林業</v>
      </c>
      <c r="O45" s="680"/>
      <c r="P45" s="680"/>
      <c r="Q45" s="680"/>
      <c r="R45" s="680"/>
      <c r="S45" s="680"/>
      <c r="T45" s="680"/>
      <c r="U45" s="680"/>
    </row>
    <row r="46" spans="1:34" ht="18" hidden="1" customHeight="1">
      <c r="B46" s="680" t="s">
        <v>821</v>
      </c>
      <c r="N46" s="680" t="str">
        <f t="shared" ref="N46:N62" si="0">SUBSTITUTE(B46,LEFT(B46,2),"")</f>
        <v>漁業</v>
      </c>
    </row>
    <row r="47" spans="1:34" ht="18" hidden="1" customHeight="1">
      <c r="B47" s="680" t="s">
        <v>822</v>
      </c>
      <c r="N47" s="680" t="str">
        <f t="shared" si="0"/>
        <v>鉱業，採石業，砂利採取業</v>
      </c>
    </row>
    <row r="48" spans="1:34" ht="18" hidden="1" customHeight="1">
      <c r="B48" s="680" t="s">
        <v>823</v>
      </c>
      <c r="N48" s="680" t="str">
        <f t="shared" si="0"/>
        <v>建設業</v>
      </c>
    </row>
    <row r="49" spans="2:14" ht="18" hidden="1" customHeight="1">
      <c r="B49" s="680" t="s">
        <v>824</v>
      </c>
      <c r="N49" s="680" t="str">
        <f t="shared" si="0"/>
        <v>製造業</v>
      </c>
    </row>
    <row r="50" spans="2:14" ht="18" hidden="1" customHeight="1">
      <c r="B50" s="680" t="s">
        <v>825</v>
      </c>
      <c r="N50" s="680" t="str">
        <f t="shared" si="0"/>
        <v>電気・ガス・熱供給・水道業</v>
      </c>
    </row>
    <row r="51" spans="2:14" ht="18" hidden="1" customHeight="1">
      <c r="B51" s="680" t="s">
        <v>826</v>
      </c>
      <c r="N51" s="680" t="str">
        <f t="shared" si="0"/>
        <v>情報通信業</v>
      </c>
    </row>
    <row r="52" spans="2:14" ht="18" hidden="1" customHeight="1">
      <c r="B52" s="680" t="s">
        <v>827</v>
      </c>
      <c r="N52" s="680" t="str">
        <f t="shared" si="0"/>
        <v>運輸業，郵便業</v>
      </c>
    </row>
    <row r="53" spans="2:14" ht="17.25" hidden="1">
      <c r="B53" s="680" t="s">
        <v>828</v>
      </c>
      <c r="N53" s="680" t="str">
        <f t="shared" si="0"/>
        <v>卸売業，小売業</v>
      </c>
    </row>
    <row r="54" spans="2:14" ht="17.25" hidden="1">
      <c r="B54" s="680" t="s">
        <v>829</v>
      </c>
      <c r="N54" s="680" t="str">
        <f t="shared" si="0"/>
        <v>金融業，保険業</v>
      </c>
    </row>
    <row r="55" spans="2:14" ht="17.25" hidden="1">
      <c r="B55" s="680" t="s">
        <v>830</v>
      </c>
      <c r="N55" s="680" t="str">
        <f t="shared" si="0"/>
        <v>不動産業，物品賃貸業</v>
      </c>
    </row>
    <row r="56" spans="2:14" ht="17.25" hidden="1">
      <c r="B56" s="680" t="s">
        <v>831</v>
      </c>
      <c r="N56" s="680" t="str">
        <f t="shared" si="0"/>
        <v>学術研究，専門・技術サービス業</v>
      </c>
    </row>
    <row r="57" spans="2:14" ht="17.25" hidden="1">
      <c r="B57" s="680" t="s">
        <v>832</v>
      </c>
      <c r="N57" s="680" t="str">
        <f t="shared" si="0"/>
        <v>宿泊業，飲食サービス業</v>
      </c>
    </row>
    <row r="58" spans="2:14" ht="17.25" hidden="1">
      <c r="B58" s="680" t="s">
        <v>833</v>
      </c>
      <c r="N58" s="680" t="str">
        <f t="shared" si="0"/>
        <v>生活関連サービス業，娯楽業</v>
      </c>
    </row>
    <row r="59" spans="2:14" ht="20.100000000000001" hidden="1" customHeight="1">
      <c r="B59" s="680" t="s">
        <v>834</v>
      </c>
      <c r="N59" s="680" t="str">
        <f t="shared" si="0"/>
        <v>教育，学習支援業</v>
      </c>
    </row>
    <row r="60" spans="2:14" ht="20.100000000000001" hidden="1" customHeight="1">
      <c r="B60" s="680" t="s">
        <v>835</v>
      </c>
      <c r="N60" s="680" t="str">
        <f t="shared" si="0"/>
        <v>医療，福祉</v>
      </c>
    </row>
    <row r="61" spans="2:14" ht="20.100000000000001" hidden="1" customHeight="1">
      <c r="B61" s="680" t="s">
        <v>836</v>
      </c>
      <c r="N61" s="680" t="str">
        <f t="shared" si="0"/>
        <v>複合サービス事業</v>
      </c>
    </row>
    <row r="62" spans="2:14" ht="20.100000000000001" hidden="1" customHeight="1">
      <c r="B62" s="680" t="s">
        <v>819</v>
      </c>
      <c r="N62" s="680" t="str">
        <f t="shared" si="0"/>
        <v>サービス業（他に分類されないもの）</v>
      </c>
    </row>
    <row r="63" spans="2:14" ht="20.100000000000001" hidden="1" customHeight="1">
      <c r="B63" s="681"/>
    </row>
    <row r="66" ht="13.5" customHeight="1"/>
    <row r="67" ht="24.95" customHeight="1"/>
  </sheetData>
  <sheetProtection algorithmName="SHA-512" hashValue="hvtcDv1seeOo3kKbvcgPe7n/JWCmL3v4rdsNZDoIMTZn6u7ZIAmYCd30yT1DkV9ZK7c030OsfV3YGszq4lTMkA==" saltValue="Sc9VbBLTcA7hPKwW6JY7RQ==" spinCount="100000" sheet="1" formatCells="0"/>
  <mergeCells count="104">
    <mergeCell ref="A32:D35"/>
    <mergeCell ref="E32:G32"/>
    <mergeCell ref="E33:G33"/>
    <mergeCell ref="E34:G34"/>
    <mergeCell ref="E35:I35"/>
    <mergeCell ref="J35:AH35"/>
    <mergeCell ref="H32:R32"/>
    <mergeCell ref="S32:U32"/>
    <mergeCell ref="V32:AH32"/>
    <mergeCell ref="H33:R33"/>
    <mergeCell ref="S33:U33"/>
    <mergeCell ref="V33:AH33"/>
    <mergeCell ref="H34:R34"/>
    <mergeCell ref="S34:U34"/>
    <mergeCell ref="V34:AH34"/>
    <mergeCell ref="A29:D31"/>
    <mergeCell ref="E29:I29"/>
    <mergeCell ref="J29:AH29"/>
    <mergeCell ref="E30:I30"/>
    <mergeCell ref="J30:AH30"/>
    <mergeCell ref="E31:I31"/>
    <mergeCell ref="J31:AH31"/>
    <mergeCell ref="A23:D26"/>
    <mergeCell ref="E23:G23"/>
    <mergeCell ref="E25:G25"/>
    <mergeCell ref="H23:R23"/>
    <mergeCell ref="S23:U23"/>
    <mergeCell ref="V23:AH23"/>
    <mergeCell ref="H24:R24"/>
    <mergeCell ref="S24:U24"/>
    <mergeCell ref="V24:AH24"/>
    <mergeCell ref="H25:R25"/>
    <mergeCell ref="S25:U25"/>
    <mergeCell ref="V25:AH25"/>
    <mergeCell ref="E24:G24"/>
    <mergeCell ref="E26:I26"/>
    <mergeCell ref="J26:AH26"/>
    <mergeCell ref="A19:D22"/>
    <mergeCell ref="E19:I19"/>
    <mergeCell ref="J19:AH19"/>
    <mergeCell ref="E20:I20"/>
    <mergeCell ref="J20:AH20"/>
    <mergeCell ref="J22:U22"/>
    <mergeCell ref="V22:AH22"/>
    <mergeCell ref="E21:I21"/>
    <mergeCell ref="J21:AH21"/>
    <mergeCell ref="E22:I22"/>
    <mergeCell ref="A13:D16"/>
    <mergeCell ref="E13:G13"/>
    <mergeCell ref="H13:R13"/>
    <mergeCell ref="S13:U13"/>
    <mergeCell ref="V13:AH13"/>
    <mergeCell ref="E14:G14"/>
    <mergeCell ref="H14:R14"/>
    <mergeCell ref="S14:U14"/>
    <mergeCell ref="V14:AH14"/>
    <mergeCell ref="E15:G15"/>
    <mergeCell ref="H15:R15"/>
    <mergeCell ref="S15:U15"/>
    <mergeCell ref="V15:AH15"/>
    <mergeCell ref="E16:I16"/>
    <mergeCell ref="J16:AH16"/>
    <mergeCell ref="A9:D12"/>
    <mergeCell ref="E9:I9"/>
    <mergeCell ref="E10:I10"/>
    <mergeCell ref="J10:AH10"/>
    <mergeCell ref="E11:K12"/>
    <mergeCell ref="X12:AC12"/>
    <mergeCell ref="AD12:AH12"/>
    <mergeCell ref="L11:Q11"/>
    <mergeCell ref="R11:W11"/>
    <mergeCell ref="X11:AC11"/>
    <mergeCell ref="AD11:AH11"/>
    <mergeCell ref="L12:Q12"/>
    <mergeCell ref="R12:W12"/>
    <mergeCell ref="J9:AH9"/>
    <mergeCell ref="A1:AH1"/>
    <mergeCell ref="E4:I4"/>
    <mergeCell ref="J4:AH4"/>
    <mergeCell ref="E5:I5"/>
    <mergeCell ref="J5:AH5"/>
    <mergeCell ref="E6:I6"/>
    <mergeCell ref="J6:AH6"/>
    <mergeCell ref="E7:I7"/>
    <mergeCell ref="A4:D8"/>
    <mergeCell ref="J8:N8"/>
    <mergeCell ref="U8:X8"/>
    <mergeCell ref="AE8:AH8"/>
    <mergeCell ref="J7:T7"/>
    <mergeCell ref="Z7:AH7"/>
    <mergeCell ref="E8:I8"/>
    <mergeCell ref="U7:Y7"/>
    <mergeCell ref="P8:T8"/>
    <mergeCell ref="Z8:AD8"/>
    <mergeCell ref="AA40:AB40"/>
    <mergeCell ref="W38:AH39"/>
    <mergeCell ref="A40:I40"/>
    <mergeCell ref="J40:L40"/>
    <mergeCell ref="M40:Q40"/>
    <mergeCell ref="R40:S40"/>
    <mergeCell ref="A38:D39"/>
    <mergeCell ref="E38:G39"/>
    <mergeCell ref="T38:V39"/>
    <mergeCell ref="H38:S39"/>
  </mergeCells>
  <phoneticPr fontId="1"/>
  <conditionalFormatting sqref="J4:AH6">
    <cfRule type="containsBlanks" dxfId="65" priority="24">
      <formula>LEN(TRIM(J4))=0</formula>
    </cfRule>
  </conditionalFormatting>
  <conditionalFormatting sqref="Z7:AH7">
    <cfRule type="containsBlanks" dxfId="64" priority="23">
      <formula>LEN(TRIM(Z7))=0</formula>
    </cfRule>
  </conditionalFormatting>
  <conditionalFormatting sqref="AE8:AH8 U8:X8 J8:N8">
    <cfRule type="containsBlanks" dxfId="63" priority="22">
      <formula>LEN(TRIM(J8))=0</formula>
    </cfRule>
  </conditionalFormatting>
  <conditionalFormatting sqref="J7:T7">
    <cfRule type="containsBlanks" dxfId="62" priority="27">
      <formula>LEN(TRIM(J7))=0</formula>
    </cfRule>
  </conditionalFormatting>
  <conditionalFormatting sqref="J9:AH10">
    <cfRule type="containsBlanks" dxfId="61" priority="20">
      <formula>LEN(TRIM(J9))=0</formula>
    </cfRule>
  </conditionalFormatting>
  <conditionalFormatting sqref="H13:R15">
    <cfRule type="containsBlanks" dxfId="60" priority="18">
      <formula>LEN(TRIM(H13))=0</formula>
    </cfRule>
  </conditionalFormatting>
  <conditionalFormatting sqref="H23:R25">
    <cfRule type="containsBlanks" dxfId="59" priority="25">
      <formula>LEN(TRIM(H23))=0</formula>
    </cfRule>
  </conditionalFormatting>
  <conditionalFormatting sqref="J19:AH22">
    <cfRule type="containsBlanks" dxfId="58" priority="16">
      <formula>LEN(TRIM(J19))=0</formula>
    </cfRule>
  </conditionalFormatting>
  <conditionalFormatting sqref="V23">
    <cfRule type="containsBlanks" dxfId="57" priority="15">
      <formula>LEN(TRIM(V23))=0</formula>
    </cfRule>
  </conditionalFormatting>
  <conditionalFormatting sqref="J29:AH30">
    <cfRule type="containsBlanks" dxfId="56" priority="14">
      <formula>LEN(TRIM(J29))=0</formula>
    </cfRule>
  </conditionalFormatting>
  <conditionalFormatting sqref="J31:AH31">
    <cfRule type="containsBlanks" dxfId="55" priority="13">
      <formula>LEN(TRIM(J31))=0</formula>
    </cfRule>
  </conditionalFormatting>
  <conditionalFormatting sqref="H32:R34">
    <cfRule type="containsBlanks" dxfId="54" priority="12">
      <formula>LEN(TRIM(H32))=0</formula>
    </cfRule>
  </conditionalFormatting>
  <conditionalFormatting sqref="V32">
    <cfRule type="containsBlanks" dxfId="53" priority="11">
      <formula>LEN(TRIM(V32))=0</formula>
    </cfRule>
  </conditionalFormatting>
  <conditionalFormatting sqref="J35:AH35">
    <cfRule type="containsBlanks" dxfId="52" priority="10">
      <formula>LEN(TRIM(J35))=0</formula>
    </cfRule>
  </conditionalFormatting>
  <conditionalFormatting sqref="T40:U40">
    <cfRule type="containsBlanks" dxfId="51" priority="26">
      <formula>LEN(TRIM(T40))=0</formula>
    </cfRule>
  </conditionalFormatting>
  <conditionalFormatting sqref="AF40:AG40 AC40:AD40 W40:X40">
    <cfRule type="containsBlanks" dxfId="50" priority="8">
      <formula>LEN(TRIM(W40))=0</formula>
    </cfRule>
  </conditionalFormatting>
  <conditionalFormatting sqref="E38:G39">
    <cfRule type="containsBlanks" dxfId="49" priority="6">
      <formula>LEN(TRIM(E38))=0</formula>
    </cfRule>
  </conditionalFormatting>
  <conditionalFormatting sqref="V25:AH25">
    <cfRule type="containsBlanks" dxfId="48" priority="5">
      <formula>LEN(TRIM(V25))=0</formula>
    </cfRule>
  </conditionalFormatting>
  <conditionalFormatting sqref="V13:AH13">
    <cfRule type="containsBlanks" dxfId="47" priority="4">
      <formula>LEN(TRIM(V13))=0</formula>
    </cfRule>
  </conditionalFormatting>
  <conditionalFormatting sqref="V15:AH15">
    <cfRule type="containsBlanks" dxfId="46" priority="3">
      <formula>LEN(TRIM(V15))=0</formula>
    </cfRule>
  </conditionalFormatting>
  <conditionalFormatting sqref="V34:AH34">
    <cfRule type="containsBlanks" dxfId="45" priority="2">
      <formula>LEN(TRIM(V34))=0</formula>
    </cfRule>
  </conditionalFormatting>
  <conditionalFormatting sqref="T38:V39">
    <cfRule type="containsBlanks" dxfId="44" priority="1">
      <formula>LEN(TRIM(T38))=0</formula>
    </cfRule>
  </conditionalFormatting>
  <dataValidations count="2">
    <dataValidation type="list" allowBlank="1" showInputMessage="1" showErrorMessage="1" prompt="リストから選択してください" sqref="J7:T7">
      <formula1>$N$45:$N$62</formula1>
    </dataValidation>
    <dataValidation type="list" allowBlank="1" showInputMessage="1" showErrorMessage="1" sqref="E38:G39 T38:V39">
      <formula1>"○"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Header>&amp;L&amp;"ＭＳ ゴシック,標準"様式第１３号（第１６条関係）</oddHead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workbookViewId="0">
      <selection activeCell="R20" sqref="R20"/>
    </sheetView>
  </sheetViews>
  <sheetFormatPr defaultColWidth="9" defaultRowHeight="13.5"/>
  <cols>
    <col min="1" max="1" width="2.625" style="1" customWidth="1"/>
    <col min="2" max="7" width="9" style="1"/>
    <col min="8" max="8" width="10.125" style="1" customWidth="1"/>
    <col min="9" max="9" width="10.375" style="1" customWidth="1"/>
    <col min="10" max="13" width="9" style="1"/>
    <col min="14" max="14" width="10" style="1" customWidth="1"/>
    <col min="15" max="15" width="10.25" style="1" customWidth="1"/>
    <col min="16" max="16384" width="9" style="1"/>
  </cols>
  <sheetData>
    <row r="1" spans="2:30">
      <c r="B1" s="161">
        <f>温度条件他根拠!D7</f>
        <v>1</v>
      </c>
      <c r="C1" s="162"/>
      <c r="D1" s="844" t="str">
        <f ca="1">RIGHT(CELL("filename",D1),LEN(CELL("filename",D1))-FIND("]",CELL("filename",D1)))</f>
        <v>さいたま市窓遮熱</v>
      </c>
      <c r="E1" s="81"/>
      <c r="F1" s="81" t="s">
        <v>1018</v>
      </c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Q2" s="1" t="s">
        <v>584</v>
      </c>
    </row>
    <row r="3" spans="2:30" ht="36">
      <c r="B3" s="819" t="s">
        <v>0</v>
      </c>
      <c r="C3" s="20" t="s">
        <v>40</v>
      </c>
      <c r="D3" s="20" t="s">
        <v>41</v>
      </c>
      <c r="E3" s="821" t="s">
        <v>1010</v>
      </c>
      <c r="F3" s="20" t="s">
        <v>42</v>
      </c>
      <c r="G3" s="20" t="s">
        <v>43</v>
      </c>
      <c r="H3" s="18" t="s">
        <v>35</v>
      </c>
      <c r="I3" s="20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819" t="s">
        <v>0</v>
      </c>
      <c r="R3" s="20" t="s">
        <v>585</v>
      </c>
      <c r="S3" s="20" t="s">
        <v>586</v>
      </c>
      <c r="T3" s="821" t="s">
        <v>1010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819" t="s">
        <v>14</v>
      </c>
      <c r="C4" s="20" t="s">
        <v>16</v>
      </c>
      <c r="D4" s="20" t="s">
        <v>17</v>
      </c>
      <c r="E4" s="821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821" t="s">
        <v>636</v>
      </c>
      <c r="M4" s="821" t="s">
        <v>635</v>
      </c>
      <c r="N4" s="820" t="s">
        <v>25</v>
      </c>
      <c r="O4" s="20" t="s">
        <v>32</v>
      </c>
      <c r="Q4" s="819" t="s">
        <v>14</v>
      </c>
      <c r="R4" s="20" t="s">
        <v>16</v>
      </c>
      <c r="S4" s="20" t="s">
        <v>17</v>
      </c>
      <c r="T4" s="821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821" t="s">
        <v>636</v>
      </c>
      <c r="AB4" s="821" t="s">
        <v>635</v>
      </c>
      <c r="AC4" s="820" t="s">
        <v>25</v>
      </c>
      <c r="AD4" s="20" t="s">
        <v>32</v>
      </c>
    </row>
    <row r="5" spans="2:30">
      <c r="B5" s="809" t="s">
        <v>15</v>
      </c>
      <c r="C5" s="5" t="s">
        <v>12</v>
      </c>
      <c r="D5" s="5" t="s">
        <v>12</v>
      </c>
      <c r="E5" s="822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809" t="s">
        <v>31</v>
      </c>
      <c r="Q5" s="809" t="s">
        <v>15</v>
      </c>
      <c r="R5" s="5" t="s">
        <v>12</v>
      </c>
      <c r="S5" s="5" t="s">
        <v>12</v>
      </c>
      <c r="T5" s="822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809" t="s">
        <v>31</v>
      </c>
    </row>
    <row r="6" spans="2:30">
      <c r="B6" s="809">
        <v>1</v>
      </c>
      <c r="C6" s="3"/>
      <c r="D6" s="7">
        <f>結果!M155</f>
        <v>0</v>
      </c>
      <c r="E6" s="823">
        <f>温度条件他根拠!E17*6</f>
        <v>0</v>
      </c>
      <c r="F6" s="2">
        <v>0</v>
      </c>
      <c r="G6" s="6">
        <f>(温度条件他根拠!$D$11-温度条件他根拠!D9)/(温度条件他根拠!$D$11-温度条件他根拠!$D$9)</f>
        <v>1</v>
      </c>
      <c r="H6" s="7">
        <f>$C$13*E6*F6/1000</f>
        <v>0</v>
      </c>
      <c r="I6" s="7">
        <f>G6*E6*$D$6/1000</f>
        <v>0</v>
      </c>
      <c r="J6" s="6">
        <f>温度条件他根拠!$D$25</f>
        <v>3.55</v>
      </c>
      <c r="K6" s="6">
        <f>温度条件他根拠!$D$26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809">
        <v>1</v>
      </c>
      <c r="R6" s="3"/>
      <c r="S6" s="7">
        <f>結果!Q146</f>
        <v>0</v>
      </c>
      <c r="T6" s="823">
        <f>温度条件他根拠!E17*6</f>
        <v>0</v>
      </c>
      <c r="U6" s="2">
        <v>0</v>
      </c>
      <c r="V6" s="6">
        <f>(温度条件他根拠!$D$11-温度条件他根拠!D9)/(温度条件他根拠!$D$11-温度条件他根拠!$D$9)</f>
        <v>1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>W6/Y6</f>
        <v>0</v>
      </c>
      <c r="AB6" s="7">
        <f t="shared" ref="AA6:AB17" si="1">X6/Z6</f>
        <v>0</v>
      </c>
      <c r="AC6" s="13">
        <f>AA6+AB6</f>
        <v>0</v>
      </c>
      <c r="AD6" s="12">
        <f>AC6*0.495/1000</f>
        <v>0</v>
      </c>
    </row>
    <row r="7" spans="2:30">
      <c r="B7" s="809">
        <v>2</v>
      </c>
      <c r="C7" s="3"/>
      <c r="D7" s="3"/>
      <c r="E7" s="823">
        <f>E6</f>
        <v>0</v>
      </c>
      <c r="F7" s="2">
        <v>0</v>
      </c>
      <c r="G7" s="6">
        <f>(温度条件他根拠!$D$11--0.6)/(温度条件他根拠!$D$11-温度条件他根拠!$D$9)</f>
        <v>0.95813953488372094</v>
      </c>
      <c r="H7" s="7">
        <f t="shared" ref="H7:H17" si="2">$C$13*E7*F7/1000</f>
        <v>0</v>
      </c>
      <c r="I7" s="7">
        <f t="shared" ref="I7:I17" si="3">G7*E7*$D$6/1000</f>
        <v>0</v>
      </c>
      <c r="J7" s="6">
        <f>温度条件他根拠!$D$25</f>
        <v>3.55</v>
      </c>
      <c r="K7" s="6">
        <f>温度条件他根拠!$D$26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809">
        <v>2</v>
      </c>
      <c r="R7" s="3"/>
      <c r="S7" s="3"/>
      <c r="T7" s="823">
        <f>T6</f>
        <v>0</v>
      </c>
      <c r="U7" s="2">
        <v>0</v>
      </c>
      <c r="V7" s="6">
        <f>(温度条件他根拠!$D$11--0.6)/(温度条件他根拠!$D$11-温度条件他根拠!$D$9)</f>
        <v>0.95813953488372094</v>
      </c>
      <c r="W7" s="7">
        <f>$R$13*T7*U7/1000</f>
        <v>0</v>
      </c>
      <c r="X7" s="7">
        <f>V7*T7*$S$6/1000</f>
        <v>0</v>
      </c>
      <c r="Y7" s="6">
        <f>温度条件他根拠!$D$25</f>
        <v>3.55</v>
      </c>
      <c r="Z7" s="6">
        <f>温度条件他根拠!$D$26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809">
        <v>3</v>
      </c>
      <c r="C8" s="3"/>
      <c r="D8" s="3"/>
      <c r="E8" s="823">
        <f t="shared" ref="E8:E17" si="8">E7</f>
        <v>0</v>
      </c>
      <c r="F8" s="2">
        <v>0</v>
      </c>
      <c r="G8" s="6">
        <f>(温度条件他根拠!$D$11-2.8)/(温度条件他根拠!$D$11-温度条件他根拠!$D$9)</f>
        <v>0.79999999999999993</v>
      </c>
      <c r="H8" s="7">
        <f t="shared" si="2"/>
        <v>0</v>
      </c>
      <c r="I8" s="7">
        <f t="shared" si="3"/>
        <v>0</v>
      </c>
      <c r="J8" s="6">
        <f>温度条件他根拠!$D$25</f>
        <v>3.55</v>
      </c>
      <c r="K8" s="6">
        <f>温度条件他根拠!$D$26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809">
        <v>3</v>
      </c>
      <c r="R8" s="3"/>
      <c r="S8" s="3"/>
      <c r="T8" s="823">
        <f t="shared" ref="T8:T17" si="9">T7</f>
        <v>0</v>
      </c>
      <c r="U8" s="2">
        <v>0</v>
      </c>
      <c r="V8" s="6">
        <f>(温度条件他根拠!$D$11-2.8)/(温度条件他根拠!$D$11-温度条件他根拠!$D$9)</f>
        <v>0.79999999999999993</v>
      </c>
      <c r="W8" s="7">
        <f>$R$13*T8*U8/1000</f>
        <v>0</v>
      </c>
      <c r="X8" s="7">
        <f>V8*T8*$S$6/1000</f>
        <v>0</v>
      </c>
      <c r="Y8" s="6">
        <f>温度条件他根拠!$D$25</f>
        <v>3.55</v>
      </c>
      <c r="Z8" s="6">
        <f>温度条件他根拠!$D$26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809">
        <v>4</v>
      </c>
      <c r="C9" s="3"/>
      <c r="D9" s="3"/>
      <c r="E9" s="823">
        <f t="shared" si="8"/>
        <v>0</v>
      </c>
      <c r="F9" s="2">
        <v>0</v>
      </c>
      <c r="G9" s="6">
        <f>(温度条件他根拠!$D$11-8.1)/(温度条件他根拠!$D$11-温度条件他根拠!$D$9)</f>
        <v>0.55348837209302326</v>
      </c>
      <c r="H9" s="7">
        <f t="shared" si="2"/>
        <v>0</v>
      </c>
      <c r="I9" s="7">
        <f t="shared" si="3"/>
        <v>0</v>
      </c>
      <c r="J9" s="6">
        <f>温度条件他根拠!$D$25</f>
        <v>3.55</v>
      </c>
      <c r="K9" s="6">
        <f>温度条件他根拠!$D$26</f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809">
        <v>4</v>
      </c>
      <c r="R9" s="3"/>
      <c r="S9" s="3"/>
      <c r="T9" s="823">
        <f t="shared" si="9"/>
        <v>0</v>
      </c>
      <c r="U9" s="2">
        <v>0</v>
      </c>
      <c r="V9" s="6">
        <f>(温度条件他根拠!$D$11-8.1)/(温度条件他根拠!$D$11-温度条件他根拠!$D$9)</f>
        <v>0.55348837209302326</v>
      </c>
      <c r="W9" s="7">
        <f>$R$13*T9*U9/1000</f>
        <v>0</v>
      </c>
      <c r="X9" s="7">
        <f>V9*T9*$S$6/1000</f>
        <v>0</v>
      </c>
      <c r="Y9" s="6">
        <f>温度条件他根拠!$D$25</f>
        <v>3.55</v>
      </c>
      <c r="Z9" s="6">
        <f>温度条件他根拠!$D$26</f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809">
        <v>5</v>
      </c>
      <c r="C10" s="3"/>
      <c r="D10" s="3"/>
      <c r="E10" s="823">
        <f t="shared" si="8"/>
        <v>0</v>
      </c>
      <c r="F10" s="6">
        <f>(温度条件他根拠!$D$8-温度条件他根拠!$D$10)/(温度条件他根拠!$D$8-23.2)</f>
        <v>0.42168674698795178</v>
      </c>
      <c r="G10" s="6">
        <f>(温度条件他根拠!$D$11-13.4)/(温度条件他根拠!$D$11-温度条件他根拠!$D$9)</f>
        <v>0.30697674418604648</v>
      </c>
      <c r="H10" s="824">
        <f>0.25*$C$13*E10*F10/1000</f>
        <v>0</v>
      </c>
      <c r="I10" s="824">
        <f>0.25*G10*E10*$D$6/1000</f>
        <v>0</v>
      </c>
      <c r="J10" s="6">
        <f>温度条件他根拠!$D$25</f>
        <v>3.55</v>
      </c>
      <c r="K10" s="6">
        <f>温度条件他根拠!$D$26</f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809">
        <v>5</v>
      </c>
      <c r="R10" s="3"/>
      <c r="S10" s="3"/>
      <c r="T10" s="823">
        <f t="shared" si="9"/>
        <v>0</v>
      </c>
      <c r="U10" s="6">
        <f>(温度条件他根拠!$D$8-温度条件他根拠!$D$10)/(温度条件他根拠!$D$8-23.2)</f>
        <v>0.42168674698795178</v>
      </c>
      <c r="V10" s="6">
        <f>(温度条件他根拠!$D$11-13.4)/(温度条件他根拠!$D$11-温度条件他根拠!$D$9)</f>
        <v>0.30697674418604648</v>
      </c>
      <c r="W10" s="824">
        <f>0.25*$R$13*T10*U10/1000</f>
        <v>0</v>
      </c>
      <c r="X10" s="824">
        <f>0.25*V10*T10*$S$6/1000</f>
        <v>0</v>
      </c>
      <c r="Y10" s="6">
        <f>温度条件他根拠!$D$25</f>
        <v>3.55</v>
      </c>
      <c r="Z10" s="6">
        <f>温度条件他根拠!$D$26</f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809">
        <v>6</v>
      </c>
      <c r="C11" s="3"/>
      <c r="D11" s="3"/>
      <c r="E11" s="823">
        <f t="shared" si="8"/>
        <v>0</v>
      </c>
      <c r="F11" s="6">
        <f>(温度条件他根拠!$D$8-温度条件他根拠!$D$10)/(温度条件他根拠!$D$8-26)</f>
        <v>0.63636363636363635</v>
      </c>
      <c r="G11" s="2">
        <v>0</v>
      </c>
      <c r="H11" s="7">
        <f t="shared" si="2"/>
        <v>0</v>
      </c>
      <c r="I11" s="7">
        <f t="shared" si="3"/>
        <v>0</v>
      </c>
      <c r="J11" s="6">
        <f>温度条件他根拠!$D$25</f>
        <v>3.55</v>
      </c>
      <c r="K11" s="6">
        <f>温度条件他根拠!$D$26</f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809">
        <v>6</v>
      </c>
      <c r="R11" s="3"/>
      <c r="S11" s="3"/>
      <c r="T11" s="823">
        <f t="shared" si="9"/>
        <v>0</v>
      </c>
      <c r="U11" s="6">
        <f>(温度条件他根拠!$D$8-温度条件他根拠!$D$10)/(温度条件他根拠!$D$8-26)</f>
        <v>0.63636363636363635</v>
      </c>
      <c r="V11" s="2">
        <v>0</v>
      </c>
      <c r="W11" s="7">
        <f>$R$13*T11*U11/1000</f>
        <v>0</v>
      </c>
      <c r="X11" s="7">
        <f>V11*T11*$S$6/1000</f>
        <v>0</v>
      </c>
      <c r="Y11" s="6">
        <f>温度条件他根拠!$D$25</f>
        <v>3.55</v>
      </c>
      <c r="Z11" s="6">
        <f>温度条件他根拠!$D$26</f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809">
        <v>7</v>
      </c>
      <c r="C12" s="3"/>
      <c r="D12" s="3"/>
      <c r="E12" s="823">
        <f t="shared" si="8"/>
        <v>0</v>
      </c>
      <c r="F12" s="6">
        <f>(温度条件他根拠!$D$8-温度条件他根拠!$D$10)/(温度条件他根拠!$D$8-28)</f>
        <v>1</v>
      </c>
      <c r="G12" s="2">
        <v>0</v>
      </c>
      <c r="H12" s="7">
        <f t="shared" si="2"/>
        <v>0</v>
      </c>
      <c r="I12" s="7">
        <f t="shared" si="3"/>
        <v>0</v>
      </c>
      <c r="J12" s="6">
        <f>温度条件他根拠!$D$25</f>
        <v>3.55</v>
      </c>
      <c r="K12" s="6">
        <f>温度条件他根拠!$D$26</f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809">
        <v>7</v>
      </c>
      <c r="R12" s="3"/>
      <c r="S12" s="3"/>
      <c r="T12" s="823">
        <f t="shared" si="9"/>
        <v>0</v>
      </c>
      <c r="U12" s="6">
        <f>(温度条件他根拠!$D$8-温度条件他根拠!$D$10)/(温度条件他根拠!$D$8-28)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6">
        <f>温度条件他根拠!$D$25</f>
        <v>3.55</v>
      </c>
      <c r="Z12" s="6">
        <f>温度条件他根拠!$D$26</f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809">
        <v>8</v>
      </c>
      <c r="C13" s="7">
        <f>結果!I155</f>
        <v>0</v>
      </c>
      <c r="D13" s="3"/>
      <c r="E13" s="823">
        <f t="shared" si="8"/>
        <v>0</v>
      </c>
      <c r="F13" s="6">
        <f>(温度条件他根拠!$D$8-温度条件他根拠!$D$10)/(温度条件他根拠!$D$8-28)</f>
        <v>1</v>
      </c>
      <c r="G13" s="2">
        <v>0</v>
      </c>
      <c r="H13" s="7">
        <f>$C$13*E13*F13/1000</f>
        <v>0</v>
      </c>
      <c r="I13" s="7">
        <f t="shared" si="3"/>
        <v>0</v>
      </c>
      <c r="J13" s="6">
        <f>温度条件他根拠!$D$25</f>
        <v>3.55</v>
      </c>
      <c r="K13" s="6">
        <f>温度条件他根拠!$D$26</f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809">
        <v>8</v>
      </c>
      <c r="R13" s="7">
        <f>結果!I146</f>
        <v>0</v>
      </c>
      <c r="S13" s="3"/>
      <c r="T13" s="823">
        <f t="shared" si="9"/>
        <v>0</v>
      </c>
      <c r="U13" s="6">
        <f>(温度条件他根拠!$D$8-温度条件他根拠!$D$10)/(温度条件他根拠!$D$8-28)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6">
        <f>温度条件他根拠!$D$25</f>
        <v>3.55</v>
      </c>
      <c r="Z13" s="6">
        <f>温度条件他根拠!$D$26</f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809">
        <v>9</v>
      </c>
      <c r="C14" s="3"/>
      <c r="D14" s="3"/>
      <c r="E14" s="823">
        <f t="shared" si="8"/>
        <v>0</v>
      </c>
      <c r="F14" s="6">
        <f>(温度条件他根拠!$D$8-温度条件他根拠!$D$10)/(温度条件他根拠!$D$8-27.1)</f>
        <v>0.79545454545454575</v>
      </c>
      <c r="G14" s="2">
        <v>0</v>
      </c>
      <c r="H14" s="7">
        <f t="shared" si="2"/>
        <v>0</v>
      </c>
      <c r="I14" s="7">
        <f t="shared" si="3"/>
        <v>0</v>
      </c>
      <c r="J14" s="6">
        <f>温度条件他根拠!$D$25</f>
        <v>3.55</v>
      </c>
      <c r="K14" s="6">
        <f>温度条件他根拠!$D$26</f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809">
        <v>9</v>
      </c>
      <c r="R14" s="3"/>
      <c r="S14" s="3"/>
      <c r="T14" s="823">
        <f t="shared" si="9"/>
        <v>0</v>
      </c>
      <c r="U14" s="6">
        <f>(温度条件他根拠!$D$8-温度条件他根拠!$D$10)/(温度条件他根拠!$D$8-27.1)</f>
        <v>0.79545454545454575</v>
      </c>
      <c r="V14" s="2">
        <v>0</v>
      </c>
      <c r="W14" s="7">
        <f>$R$13*T14*U14/1000</f>
        <v>0</v>
      </c>
      <c r="X14" s="7">
        <f>V14*T14*$S$6/1000</f>
        <v>0</v>
      </c>
      <c r="Y14" s="6">
        <f>温度条件他根拠!$D$25</f>
        <v>3.55</v>
      </c>
      <c r="Z14" s="6">
        <f>温度条件他根拠!$D$26</f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809">
        <v>10</v>
      </c>
      <c r="C15" s="3"/>
      <c r="D15" s="3"/>
      <c r="E15" s="823">
        <f t="shared" si="8"/>
        <v>0</v>
      </c>
      <c r="F15" s="6">
        <f>(温度条件他根拠!$D$8-温度条件他根拠!$D$10)/(温度条件他根拠!$D$8-21.6)</f>
        <v>0.35353535353535359</v>
      </c>
      <c r="G15" s="6">
        <f>(温度条件他根拠!$D$11-12.8)/(温度条件他根拠!$D$11-温度条件他根拠!$D$9)</f>
        <v>0.3348837209302325</v>
      </c>
      <c r="H15" s="824">
        <f>0.25*$C$13*E15*F15/1000</f>
        <v>0</v>
      </c>
      <c r="I15" s="824">
        <f>0.25*G15*E15*$D$6/1000</f>
        <v>0</v>
      </c>
      <c r="J15" s="6">
        <f>温度条件他根拠!$D$25</f>
        <v>3.55</v>
      </c>
      <c r="K15" s="6">
        <f>温度条件他根拠!$D$26</f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809">
        <v>10</v>
      </c>
      <c r="R15" s="3"/>
      <c r="S15" s="3"/>
      <c r="T15" s="823">
        <f t="shared" si="9"/>
        <v>0</v>
      </c>
      <c r="U15" s="6">
        <f>(温度条件他根拠!$D$8-温度条件他根拠!$D$10)/(温度条件他根拠!$D$8-21.6)</f>
        <v>0.35353535353535359</v>
      </c>
      <c r="V15" s="6">
        <f>(温度条件他根拠!$D$11-12.8)/(温度条件他根拠!$D$11-温度条件他根拠!$D$9)</f>
        <v>0.3348837209302325</v>
      </c>
      <c r="W15" s="824">
        <f>0.25*$R$13*T15*U15/1000</f>
        <v>0</v>
      </c>
      <c r="X15" s="824">
        <f>0.25*V15*T15*$S$6/1000</f>
        <v>0</v>
      </c>
      <c r="Y15" s="6">
        <f>温度条件他根拠!$D$25</f>
        <v>3.55</v>
      </c>
      <c r="Z15" s="6">
        <f>温度条件他根拠!$D$26</f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809">
        <v>11</v>
      </c>
      <c r="C16" s="3"/>
      <c r="D16" s="3"/>
      <c r="E16" s="823">
        <f t="shared" si="8"/>
        <v>0</v>
      </c>
      <c r="F16" s="2">
        <v>0</v>
      </c>
      <c r="G16" s="6">
        <f>(温度条件他根拠!$D$11-6.2)/(温度条件他根拠!$D$11-温度条件他根拠!$D$9)</f>
        <v>0.64186046511627914</v>
      </c>
      <c r="H16" s="7">
        <f t="shared" si="2"/>
        <v>0</v>
      </c>
      <c r="I16" s="7">
        <f t="shared" si="3"/>
        <v>0</v>
      </c>
      <c r="J16" s="6">
        <f>温度条件他根拠!$D$25</f>
        <v>3.55</v>
      </c>
      <c r="K16" s="6">
        <f>温度条件他根拠!$D$26</f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809">
        <v>11</v>
      </c>
      <c r="R16" s="3"/>
      <c r="S16" s="3"/>
      <c r="T16" s="823">
        <f t="shared" si="9"/>
        <v>0</v>
      </c>
      <c r="U16" s="2">
        <v>0</v>
      </c>
      <c r="V16" s="6">
        <f>(温度条件他根拠!$D$11-6.2)/(温度条件他根拠!$D$11-温度条件他根拠!$D$9)</f>
        <v>0.64186046511627914</v>
      </c>
      <c r="W16" s="7">
        <f>$R$13*T16*U16/1000</f>
        <v>0</v>
      </c>
      <c r="X16" s="7">
        <f>V16*T16*$S$6/1000</f>
        <v>0</v>
      </c>
      <c r="Y16" s="6">
        <f>温度条件他根拠!$D$25</f>
        <v>3.55</v>
      </c>
      <c r="Z16" s="6">
        <f>温度条件他根拠!$D$26</f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809">
        <v>12</v>
      </c>
      <c r="C17" s="3"/>
      <c r="D17" s="3"/>
      <c r="E17" s="823">
        <f t="shared" si="8"/>
        <v>0</v>
      </c>
      <c r="F17" s="2">
        <v>0</v>
      </c>
      <c r="G17" s="6">
        <f>(温度条件他根拠!$D$11-0.8)/(温度条件他根拠!$D$11-温度条件他根拠!$D$9)</f>
        <v>0.89302325581395348</v>
      </c>
      <c r="H17" s="7">
        <f t="shared" si="2"/>
        <v>0</v>
      </c>
      <c r="I17" s="7">
        <f t="shared" si="3"/>
        <v>0</v>
      </c>
      <c r="J17" s="6">
        <f>温度条件他根拠!$D$25</f>
        <v>3.55</v>
      </c>
      <c r="K17" s="6">
        <f>温度条件他根拠!$D$26</f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809">
        <v>12</v>
      </c>
      <c r="R17" s="3"/>
      <c r="S17" s="3"/>
      <c r="T17" s="823">
        <f t="shared" si="9"/>
        <v>0</v>
      </c>
      <c r="U17" s="2">
        <v>0</v>
      </c>
      <c r="V17" s="6">
        <f>(温度条件他根拠!$D$11-0.8)/(温度条件他根拠!$D$11-温度条件他根拠!$D$9)</f>
        <v>0.89302325581395348</v>
      </c>
      <c r="W17" s="7">
        <f>$R$13*T17*U17/1000</f>
        <v>0</v>
      </c>
      <c r="X17" s="7">
        <f>V17*T17*$S$6/1000</f>
        <v>0</v>
      </c>
      <c r="Y17" s="6">
        <f>温度条件他根拠!$D$25</f>
        <v>3.55</v>
      </c>
      <c r="Z17" s="6">
        <f>温度条件他根拠!$D$26</f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824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824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7" t="s">
        <v>1011</v>
      </c>
    </row>
    <row r="44" spans="2:3">
      <c r="B44" s="826">
        <v>43927</v>
      </c>
      <c r="C44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D43"/>
  <sheetViews>
    <sheetView topLeftCell="A7"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300" t="s">
        <v>0</v>
      </c>
      <c r="R3" s="20" t="s">
        <v>585</v>
      </c>
      <c r="S3" s="20" t="s">
        <v>586</v>
      </c>
      <c r="T3" s="20" t="s">
        <v>8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21" t="s">
        <v>25</v>
      </c>
      <c r="O4" s="20" t="s">
        <v>32</v>
      </c>
      <c r="Q4" s="300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301" t="s">
        <v>25</v>
      </c>
      <c r="AD4" s="20" t="s">
        <v>32</v>
      </c>
    </row>
    <row r="5" spans="2:30">
      <c r="B5" s="4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4" t="s">
        <v>31</v>
      </c>
      <c r="Q5" s="299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299" t="s">
        <v>31</v>
      </c>
    </row>
    <row r="6" spans="2:30">
      <c r="B6" s="4">
        <v>1</v>
      </c>
      <c r="C6" s="3"/>
      <c r="D6" s="7">
        <f>結果!M112</f>
        <v>0</v>
      </c>
      <c r="E6" s="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L17" si="0">H6/J6</f>
        <v>0</v>
      </c>
      <c r="M6" s="7">
        <f t="shared" ref="M6:M17" si="1">I6/K6</f>
        <v>0</v>
      </c>
      <c r="N6" s="13">
        <f>L6+M6</f>
        <v>0</v>
      </c>
      <c r="O6" s="12">
        <f>N6*0.495/1000</f>
        <v>0</v>
      </c>
      <c r="Q6" s="299">
        <v>1</v>
      </c>
      <c r="R6" s="3"/>
      <c r="S6" s="7">
        <f>結果!Q113</f>
        <v>0</v>
      </c>
      <c r="T6" s="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A17" si="2">W6/Y6</f>
        <v>0</v>
      </c>
      <c r="AB6" s="7">
        <f t="shared" ref="AB6:AB17" si="3">X6/Z6</f>
        <v>0</v>
      </c>
      <c r="AC6" s="13">
        <f>AA6+AB6</f>
        <v>0</v>
      </c>
      <c r="AD6" s="12">
        <f>AC6*0.495/1000</f>
        <v>0</v>
      </c>
    </row>
    <row r="7" spans="2:30">
      <c r="B7" s="4">
        <v>2</v>
      </c>
      <c r="C7" s="3"/>
      <c r="D7" s="3"/>
      <c r="E7" s="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4">$C$13*E7*F7/1000</f>
        <v>0</v>
      </c>
      <c r="I7" s="7">
        <f t="shared" ref="I7:I17" si="5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1"/>
        <v>0</v>
      </c>
      <c r="N7" s="13">
        <f t="shared" ref="N7:N17" si="6">L7+M7</f>
        <v>0</v>
      </c>
      <c r="O7" s="12">
        <f t="shared" ref="O7:O17" si="7">N7*0.495/1000</f>
        <v>0</v>
      </c>
      <c r="Q7" s="299">
        <v>2</v>
      </c>
      <c r="R7" s="3"/>
      <c r="S7" s="3"/>
      <c r="T7" s="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2"/>
        <v>0</v>
      </c>
      <c r="AB7" s="7">
        <f t="shared" si="3"/>
        <v>0</v>
      </c>
      <c r="AC7" s="13">
        <f t="shared" ref="AC7:AC17" si="8">AA7+AB7</f>
        <v>0</v>
      </c>
      <c r="AD7" s="12">
        <f t="shared" ref="AD7:AD17" si="9">AC7*0.495/1000</f>
        <v>0</v>
      </c>
    </row>
    <row r="8" spans="2:30">
      <c r="B8" s="4">
        <v>3</v>
      </c>
      <c r="C8" s="3"/>
      <c r="D8" s="3"/>
      <c r="E8" s="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4"/>
        <v>0</v>
      </c>
      <c r="I8" s="7">
        <f t="shared" si="5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1"/>
        <v>0</v>
      </c>
      <c r="N8" s="13">
        <f t="shared" si="6"/>
        <v>0</v>
      </c>
      <c r="O8" s="12">
        <f t="shared" si="7"/>
        <v>0</v>
      </c>
      <c r="Q8" s="299">
        <v>3</v>
      </c>
      <c r="R8" s="3"/>
      <c r="S8" s="3"/>
      <c r="T8" s="2">
        <f t="shared" ref="T8:T17" si="10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2"/>
        <v>0</v>
      </c>
      <c r="AB8" s="7">
        <f t="shared" si="3"/>
        <v>0</v>
      </c>
      <c r="AC8" s="13">
        <f t="shared" si="8"/>
        <v>0</v>
      </c>
      <c r="AD8" s="12">
        <f t="shared" si="9"/>
        <v>0</v>
      </c>
    </row>
    <row r="9" spans="2:30">
      <c r="B9" s="4">
        <v>4</v>
      </c>
      <c r="C9" s="3"/>
      <c r="D9" s="3"/>
      <c r="E9" s="2">
        <f t="shared" ref="E9:E17" si="11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4"/>
        <v>0</v>
      </c>
      <c r="I9" s="7">
        <f t="shared" si="5"/>
        <v>0</v>
      </c>
      <c r="J9" s="2">
        <f t="shared" ref="J9:K17" si="12">J8</f>
        <v>3.55</v>
      </c>
      <c r="K9" s="6">
        <f t="shared" si="12"/>
        <v>3.95</v>
      </c>
      <c r="L9" s="7">
        <f t="shared" si="0"/>
        <v>0</v>
      </c>
      <c r="M9" s="7">
        <f t="shared" si="1"/>
        <v>0</v>
      </c>
      <c r="N9" s="13">
        <f t="shared" si="6"/>
        <v>0</v>
      </c>
      <c r="O9" s="12">
        <f t="shared" si="7"/>
        <v>0</v>
      </c>
      <c r="Q9" s="299">
        <v>4</v>
      </c>
      <c r="R9" s="3"/>
      <c r="S9" s="3"/>
      <c r="T9" s="2">
        <f t="shared" si="10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9" si="13">Y8</f>
        <v>3.55</v>
      </c>
      <c r="Z9" s="6">
        <f t="shared" si="13"/>
        <v>3.95</v>
      </c>
      <c r="AA9" s="7">
        <f t="shared" si="2"/>
        <v>0</v>
      </c>
      <c r="AB9" s="7">
        <f t="shared" si="3"/>
        <v>0</v>
      </c>
      <c r="AC9" s="13">
        <f t="shared" si="8"/>
        <v>0</v>
      </c>
      <c r="AD9" s="12">
        <f t="shared" si="9"/>
        <v>0</v>
      </c>
    </row>
    <row r="10" spans="2:30">
      <c r="B10" s="4">
        <v>5</v>
      </c>
      <c r="C10" s="3"/>
      <c r="D10" s="3"/>
      <c r="E10" s="2">
        <f t="shared" si="11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824">
        <f>0.25*$C$13*E10*F10/1000</f>
        <v>0</v>
      </c>
      <c r="I10" s="824">
        <f>0.25*G10*E10*$D$6/1000</f>
        <v>0</v>
      </c>
      <c r="J10" s="2">
        <f t="shared" si="12"/>
        <v>3.55</v>
      </c>
      <c r="K10" s="6">
        <f t="shared" si="12"/>
        <v>3.95</v>
      </c>
      <c r="L10" s="7">
        <f t="shared" si="0"/>
        <v>0</v>
      </c>
      <c r="M10" s="7">
        <f t="shared" si="1"/>
        <v>0</v>
      </c>
      <c r="N10" s="13">
        <f t="shared" si="6"/>
        <v>0</v>
      </c>
      <c r="O10" s="12">
        <f t="shared" si="7"/>
        <v>0</v>
      </c>
      <c r="Q10" s="299">
        <v>5</v>
      </c>
      <c r="R10" s="3"/>
      <c r="S10" s="3"/>
      <c r="T10" s="2">
        <f t="shared" si="10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824">
        <f>0.25*$R$13*T10*U10/1000</f>
        <v>0</v>
      </c>
      <c r="X10" s="824">
        <f>0.25*V10*T10*$S$6/1000</f>
        <v>0</v>
      </c>
      <c r="Y10" s="2">
        <f t="shared" ref="Y10:Z10" si="14">Y9</f>
        <v>3.55</v>
      </c>
      <c r="Z10" s="6">
        <f t="shared" si="14"/>
        <v>3.95</v>
      </c>
      <c r="AA10" s="7">
        <f t="shared" si="2"/>
        <v>0</v>
      </c>
      <c r="AB10" s="7">
        <f t="shared" si="3"/>
        <v>0</v>
      </c>
      <c r="AC10" s="13">
        <f t="shared" si="8"/>
        <v>0</v>
      </c>
      <c r="AD10" s="12">
        <f t="shared" si="9"/>
        <v>0</v>
      </c>
    </row>
    <row r="11" spans="2:30">
      <c r="B11" s="4">
        <v>6</v>
      </c>
      <c r="C11" s="3"/>
      <c r="D11" s="3"/>
      <c r="E11" s="2">
        <f t="shared" si="11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4"/>
        <v>0</v>
      </c>
      <c r="I11" s="7">
        <f t="shared" si="5"/>
        <v>0</v>
      </c>
      <c r="J11" s="2">
        <f t="shared" si="12"/>
        <v>3.55</v>
      </c>
      <c r="K11" s="6">
        <f t="shared" si="12"/>
        <v>3.95</v>
      </c>
      <c r="L11" s="7">
        <f t="shared" si="0"/>
        <v>0</v>
      </c>
      <c r="M11" s="7">
        <f t="shared" si="1"/>
        <v>0</v>
      </c>
      <c r="N11" s="13">
        <f t="shared" si="6"/>
        <v>0</v>
      </c>
      <c r="O11" s="12">
        <f t="shared" si="7"/>
        <v>0</v>
      </c>
      <c r="Q11" s="299">
        <v>6</v>
      </c>
      <c r="R11" s="3"/>
      <c r="S11" s="3"/>
      <c r="T11" s="2">
        <f t="shared" si="10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ref="Y11:Z11" si="15">Y10</f>
        <v>3.55</v>
      </c>
      <c r="Z11" s="6">
        <f t="shared" si="15"/>
        <v>3.95</v>
      </c>
      <c r="AA11" s="7">
        <f t="shared" si="2"/>
        <v>0</v>
      </c>
      <c r="AB11" s="7">
        <f t="shared" si="3"/>
        <v>0</v>
      </c>
      <c r="AC11" s="13">
        <f t="shared" si="8"/>
        <v>0</v>
      </c>
      <c r="AD11" s="12">
        <f t="shared" si="9"/>
        <v>0</v>
      </c>
    </row>
    <row r="12" spans="2:30">
      <c r="B12" s="4">
        <v>7</v>
      </c>
      <c r="C12" s="3"/>
      <c r="D12" s="3"/>
      <c r="E12" s="2">
        <f t="shared" si="11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4"/>
        <v>0</v>
      </c>
      <c r="I12" s="7">
        <f t="shared" si="5"/>
        <v>0</v>
      </c>
      <c r="J12" s="2">
        <f t="shared" si="12"/>
        <v>3.55</v>
      </c>
      <c r="K12" s="6">
        <f t="shared" si="12"/>
        <v>3.95</v>
      </c>
      <c r="L12" s="7">
        <f t="shared" si="0"/>
        <v>0</v>
      </c>
      <c r="M12" s="7">
        <f t="shared" si="1"/>
        <v>0</v>
      </c>
      <c r="N12" s="13">
        <f t="shared" si="6"/>
        <v>0</v>
      </c>
      <c r="O12" s="12">
        <f t="shared" si="7"/>
        <v>0</v>
      </c>
      <c r="Q12" s="299">
        <v>7</v>
      </c>
      <c r="R12" s="3"/>
      <c r="S12" s="3"/>
      <c r="T12" s="2">
        <f t="shared" si="10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ref="Y12:Z12" si="16">Y11</f>
        <v>3.55</v>
      </c>
      <c r="Z12" s="6">
        <f t="shared" si="16"/>
        <v>3.95</v>
      </c>
      <c r="AA12" s="7">
        <f t="shared" si="2"/>
        <v>0</v>
      </c>
      <c r="AB12" s="7">
        <f t="shared" si="3"/>
        <v>0</v>
      </c>
      <c r="AC12" s="13">
        <f t="shared" si="8"/>
        <v>0</v>
      </c>
      <c r="AD12" s="12">
        <f t="shared" si="9"/>
        <v>0</v>
      </c>
    </row>
    <row r="13" spans="2:30">
      <c r="B13" s="4">
        <v>8</v>
      </c>
      <c r="C13" s="7">
        <f>結果!I112</f>
        <v>0</v>
      </c>
      <c r="D13" s="3"/>
      <c r="E13" s="2">
        <f t="shared" si="11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4"/>
        <v>0</v>
      </c>
      <c r="I13" s="7">
        <f t="shared" si="5"/>
        <v>0</v>
      </c>
      <c r="J13" s="2">
        <f t="shared" si="12"/>
        <v>3.55</v>
      </c>
      <c r="K13" s="6">
        <f t="shared" si="12"/>
        <v>3.95</v>
      </c>
      <c r="L13" s="7">
        <f t="shared" si="0"/>
        <v>0</v>
      </c>
      <c r="M13" s="7">
        <f t="shared" si="1"/>
        <v>0</v>
      </c>
      <c r="N13" s="13">
        <f t="shared" si="6"/>
        <v>0</v>
      </c>
      <c r="O13" s="12">
        <f t="shared" si="7"/>
        <v>0</v>
      </c>
      <c r="Q13" s="299">
        <v>8</v>
      </c>
      <c r="R13" s="7">
        <f>結果!I113</f>
        <v>0</v>
      </c>
      <c r="S13" s="3"/>
      <c r="T13" s="2">
        <f t="shared" si="10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ref="Y13:Z13" si="17">Y12</f>
        <v>3.55</v>
      </c>
      <c r="Z13" s="6">
        <f t="shared" si="17"/>
        <v>3.95</v>
      </c>
      <c r="AA13" s="7">
        <f t="shared" si="2"/>
        <v>0</v>
      </c>
      <c r="AB13" s="7">
        <f t="shared" si="3"/>
        <v>0</v>
      </c>
      <c r="AC13" s="13">
        <f t="shared" si="8"/>
        <v>0</v>
      </c>
      <c r="AD13" s="12">
        <f t="shared" si="9"/>
        <v>0</v>
      </c>
    </row>
    <row r="14" spans="2:30">
      <c r="B14" s="4">
        <v>9</v>
      </c>
      <c r="C14" s="3"/>
      <c r="D14" s="3"/>
      <c r="E14" s="2">
        <f t="shared" si="11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4"/>
        <v>0</v>
      </c>
      <c r="I14" s="7">
        <f t="shared" si="5"/>
        <v>0</v>
      </c>
      <c r="J14" s="2">
        <f t="shared" si="12"/>
        <v>3.55</v>
      </c>
      <c r="K14" s="6">
        <f t="shared" si="12"/>
        <v>3.95</v>
      </c>
      <c r="L14" s="7">
        <f t="shared" si="0"/>
        <v>0</v>
      </c>
      <c r="M14" s="7">
        <f t="shared" si="1"/>
        <v>0</v>
      </c>
      <c r="N14" s="13">
        <f t="shared" si="6"/>
        <v>0</v>
      </c>
      <c r="O14" s="12">
        <f t="shared" si="7"/>
        <v>0</v>
      </c>
      <c r="Q14" s="299">
        <v>9</v>
      </c>
      <c r="R14" s="3"/>
      <c r="S14" s="3"/>
      <c r="T14" s="2">
        <f t="shared" si="10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ref="Y14:Z14" si="18">Y13</f>
        <v>3.55</v>
      </c>
      <c r="Z14" s="6">
        <f t="shared" si="18"/>
        <v>3.95</v>
      </c>
      <c r="AA14" s="7">
        <f t="shared" si="2"/>
        <v>0</v>
      </c>
      <c r="AB14" s="7">
        <f t="shared" si="3"/>
        <v>0</v>
      </c>
      <c r="AC14" s="13">
        <f t="shared" si="8"/>
        <v>0</v>
      </c>
      <c r="AD14" s="12">
        <f t="shared" si="9"/>
        <v>0</v>
      </c>
    </row>
    <row r="15" spans="2:30">
      <c r="B15" s="4">
        <v>10</v>
      </c>
      <c r="C15" s="3"/>
      <c r="D15" s="3"/>
      <c r="E15" s="2">
        <f t="shared" si="11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824">
        <f>($C$13*E15*F15/1000)*0.25</f>
        <v>0</v>
      </c>
      <c r="I15" s="824">
        <f>(G15*E15*$D$6/1000)*0.25</f>
        <v>0</v>
      </c>
      <c r="J15" s="2">
        <f t="shared" si="12"/>
        <v>3.55</v>
      </c>
      <c r="K15" s="6">
        <f t="shared" si="12"/>
        <v>3.95</v>
      </c>
      <c r="L15" s="7">
        <f t="shared" si="0"/>
        <v>0</v>
      </c>
      <c r="M15" s="7">
        <f t="shared" si="1"/>
        <v>0</v>
      </c>
      <c r="N15" s="13">
        <f t="shared" si="6"/>
        <v>0</v>
      </c>
      <c r="O15" s="12">
        <f t="shared" si="7"/>
        <v>0</v>
      </c>
      <c r="Q15" s="299">
        <v>10</v>
      </c>
      <c r="R15" s="3"/>
      <c r="S15" s="3"/>
      <c r="T15" s="2">
        <f t="shared" si="10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824">
        <f>($R$13*T15*U15/1000)*0.25</f>
        <v>0</v>
      </c>
      <c r="X15" s="824">
        <f>(V15*T15*$S$6/1000)*0.25</f>
        <v>0</v>
      </c>
      <c r="Y15" s="2">
        <f t="shared" ref="Y15:Z15" si="19">Y14</f>
        <v>3.55</v>
      </c>
      <c r="Z15" s="6">
        <f t="shared" si="19"/>
        <v>3.95</v>
      </c>
      <c r="AA15" s="7">
        <f t="shared" si="2"/>
        <v>0</v>
      </c>
      <c r="AB15" s="7">
        <f t="shared" si="3"/>
        <v>0</v>
      </c>
      <c r="AC15" s="13">
        <f t="shared" si="8"/>
        <v>0</v>
      </c>
      <c r="AD15" s="12">
        <f t="shared" si="9"/>
        <v>0</v>
      </c>
    </row>
    <row r="16" spans="2:30">
      <c r="B16" s="4">
        <v>11</v>
      </c>
      <c r="C16" s="3"/>
      <c r="D16" s="3"/>
      <c r="E16" s="2">
        <f t="shared" si="11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4"/>
        <v>0</v>
      </c>
      <c r="I16" s="7">
        <f t="shared" si="5"/>
        <v>0</v>
      </c>
      <c r="J16" s="2">
        <f t="shared" si="12"/>
        <v>3.55</v>
      </c>
      <c r="K16" s="6">
        <f t="shared" si="12"/>
        <v>3.95</v>
      </c>
      <c r="L16" s="7">
        <f t="shared" si="0"/>
        <v>0</v>
      </c>
      <c r="M16" s="7">
        <f t="shared" si="1"/>
        <v>0</v>
      </c>
      <c r="N16" s="13">
        <f t="shared" si="6"/>
        <v>0</v>
      </c>
      <c r="O16" s="12">
        <f t="shared" si="7"/>
        <v>0</v>
      </c>
      <c r="Q16" s="299">
        <v>11</v>
      </c>
      <c r="R16" s="3"/>
      <c r="S16" s="3"/>
      <c r="T16" s="2">
        <f t="shared" si="10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ref="Y16:Z16" si="20">Y15</f>
        <v>3.55</v>
      </c>
      <c r="Z16" s="6">
        <f t="shared" si="20"/>
        <v>3.95</v>
      </c>
      <c r="AA16" s="7">
        <f t="shared" si="2"/>
        <v>0</v>
      </c>
      <c r="AB16" s="7">
        <f t="shared" si="3"/>
        <v>0</v>
      </c>
      <c r="AC16" s="13">
        <f t="shared" si="8"/>
        <v>0</v>
      </c>
      <c r="AD16" s="12">
        <f t="shared" si="9"/>
        <v>0</v>
      </c>
    </row>
    <row r="17" spans="2:30">
      <c r="B17" s="4">
        <v>12</v>
      </c>
      <c r="C17" s="3"/>
      <c r="D17" s="3"/>
      <c r="E17" s="2">
        <f t="shared" si="11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4"/>
        <v>0</v>
      </c>
      <c r="I17" s="7">
        <f t="shared" si="5"/>
        <v>0</v>
      </c>
      <c r="J17" s="2">
        <f t="shared" si="12"/>
        <v>3.55</v>
      </c>
      <c r="K17" s="6">
        <f t="shared" si="12"/>
        <v>3.95</v>
      </c>
      <c r="L17" s="7">
        <f t="shared" si="0"/>
        <v>0</v>
      </c>
      <c r="M17" s="7">
        <f t="shared" si="1"/>
        <v>0</v>
      </c>
      <c r="N17" s="13">
        <f t="shared" si="6"/>
        <v>0</v>
      </c>
      <c r="O17" s="12">
        <f t="shared" si="7"/>
        <v>0</v>
      </c>
      <c r="Q17" s="299">
        <v>12</v>
      </c>
      <c r="R17" s="3"/>
      <c r="S17" s="3"/>
      <c r="T17" s="2">
        <f t="shared" si="10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ref="Y17:Z17" si="21">Y16</f>
        <v>3.55</v>
      </c>
      <c r="Z17" s="6">
        <f t="shared" si="21"/>
        <v>3.95</v>
      </c>
      <c r="AA17" s="7">
        <f t="shared" si="2"/>
        <v>0</v>
      </c>
      <c r="AB17" s="7">
        <f t="shared" si="3"/>
        <v>0</v>
      </c>
      <c r="AC17" s="13">
        <f t="shared" si="8"/>
        <v>0</v>
      </c>
      <c r="AD17" s="12">
        <f t="shared" si="9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844" t="str">
        <f ca="1">RIGHT(CELL("filename",C1),LEN(CELL("filename",C1))-FIND("]",CELL("filename",C1)))</f>
        <v>熊谷市屋根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6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19" t="s">
        <v>0</v>
      </c>
      <c r="R3" s="20" t="s">
        <v>585</v>
      </c>
      <c r="S3" s="20" t="s">
        <v>586</v>
      </c>
      <c r="T3" s="20" t="s">
        <v>8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6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16" t="s">
        <v>31</v>
      </c>
      <c r="Q5" s="61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16" t="s">
        <v>31</v>
      </c>
    </row>
    <row r="6" spans="2:30">
      <c r="B6" s="616">
        <v>1</v>
      </c>
      <c r="C6" s="3"/>
      <c r="D6" s="7">
        <f>結果!M125</f>
        <v>0</v>
      </c>
      <c r="E6" s="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2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2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2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2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824">
        <f>0.25*$C$13*E10*F10/1000</f>
        <v>0</v>
      </c>
      <c r="I10" s="824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2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2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2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2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2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結果!I125</f>
        <v>0</v>
      </c>
      <c r="D13" s="3"/>
      <c r="E13" s="2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結果!I126</f>
        <v>0</v>
      </c>
      <c r="S13" s="3"/>
      <c r="T13" s="2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2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2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2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824">
        <f>($C$13*E15*F15/1000)*0.25</f>
        <v>0</v>
      </c>
      <c r="I15" s="824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2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2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2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2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2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844" t="str">
        <f ca="1">RIGHT(CELL("filename",C1),LEN(CELL("filename",C1))-FIND("]",CELL("filename",C1)))</f>
        <v>熊谷市外壁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6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19" t="s">
        <v>0</v>
      </c>
      <c r="R3" s="20" t="s">
        <v>585</v>
      </c>
      <c r="S3" s="20" t="s">
        <v>586</v>
      </c>
      <c r="T3" s="20" t="s">
        <v>8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6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16" t="s">
        <v>31</v>
      </c>
      <c r="Q5" s="61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16" t="s">
        <v>31</v>
      </c>
    </row>
    <row r="6" spans="2:30">
      <c r="B6" s="616">
        <v>1</v>
      </c>
      <c r="C6" s="3"/>
      <c r="D6" s="7">
        <f>結果!M135</f>
        <v>0</v>
      </c>
      <c r="E6" s="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結果!Q136</f>
        <v>0</v>
      </c>
      <c r="T6" s="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2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2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2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2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824">
        <f>0.25*$C$13*E10*F10/1000</f>
        <v>0</v>
      </c>
      <c r="I10" s="824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2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2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2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2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2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結果!I135</f>
        <v>0</v>
      </c>
      <c r="D13" s="3"/>
      <c r="E13" s="2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結果!I136</f>
        <v>0</v>
      </c>
      <c r="S13" s="3"/>
      <c r="T13" s="2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2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2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2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824">
        <f>($C$13*E15*F15/1000)*0.25</f>
        <v>0</v>
      </c>
      <c r="I15" s="824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2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2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2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2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2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5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844" t="str">
        <f ca="1">RIGHT(CELL("filename",C1),LEN(CELL("filename",C1))-FIND("]",CELL("filename",C1)))</f>
        <v>熊谷市窓断熱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619" t="s">
        <v>0</v>
      </c>
      <c r="C3" s="20" t="s">
        <v>40</v>
      </c>
      <c r="D3" s="20" t="s">
        <v>41</v>
      </c>
      <c r="E3" s="840" t="s">
        <v>1010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619" t="s">
        <v>0</v>
      </c>
      <c r="R3" s="20" t="s">
        <v>585</v>
      </c>
      <c r="S3" s="20" t="s">
        <v>586</v>
      </c>
      <c r="T3" s="840" t="s">
        <v>1010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619" t="s">
        <v>14</v>
      </c>
      <c r="C4" s="20" t="s">
        <v>16</v>
      </c>
      <c r="D4" s="20" t="s">
        <v>17</v>
      </c>
      <c r="E4" s="84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84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841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616" t="s">
        <v>31</v>
      </c>
      <c r="Q5" s="616" t="s">
        <v>15</v>
      </c>
      <c r="R5" s="5" t="s">
        <v>12</v>
      </c>
      <c r="S5" s="5" t="s">
        <v>12</v>
      </c>
      <c r="T5" s="841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616" t="s">
        <v>31</v>
      </c>
    </row>
    <row r="6" spans="2:30">
      <c r="B6" s="616">
        <v>1</v>
      </c>
      <c r="C6" s="3"/>
      <c r="D6" s="7">
        <f>結果!M145</f>
        <v>0</v>
      </c>
      <c r="E6" s="842">
        <f>温度条件他根拠!E17*温度条件他根拠!E18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結果!Q146</f>
        <v>0</v>
      </c>
      <c r="T6" s="842">
        <f>温度条件他根拠!E17*温度条件他根拠!E18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842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842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842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842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842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842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842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824">
        <f>0.25*$C$13*E10*F10/1000</f>
        <v>0</v>
      </c>
      <c r="I10" s="824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842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842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842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842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842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結果!I145</f>
        <v>0</v>
      </c>
      <c r="D13" s="3"/>
      <c r="E13" s="842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結果!I146</f>
        <v>0</v>
      </c>
      <c r="S13" s="3"/>
      <c r="T13" s="842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842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842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842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824">
        <f>($C$13*E15*F15/1000)*0.25</f>
        <v>0</v>
      </c>
      <c r="I15" s="824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842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842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842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842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842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843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843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4" spans="2:3">
      <c r="B44" s="826">
        <v>43927</v>
      </c>
      <c r="C44" s="827" t="s">
        <v>1011</v>
      </c>
    </row>
    <row r="45" spans="2:3">
      <c r="B45" s="826">
        <v>43927</v>
      </c>
      <c r="C45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5"/>
  <sheetViews>
    <sheetView workbookViewId="0">
      <selection activeCell="R20" sqref="R20"/>
    </sheetView>
  </sheetViews>
  <sheetFormatPr defaultColWidth="9" defaultRowHeight="13.5"/>
  <cols>
    <col min="1" max="1" width="2.5" style="1" customWidth="1"/>
    <col min="2" max="7" width="9" style="1"/>
    <col min="8" max="8" width="9.875" style="1" customWidth="1"/>
    <col min="9" max="9" width="10.25" style="1" bestFit="1" customWidth="1"/>
    <col min="10" max="13" width="9" style="1"/>
    <col min="14" max="14" width="10.875" style="1" customWidth="1"/>
    <col min="15" max="15" width="9.625" style="1" customWidth="1"/>
    <col min="16" max="16384" width="9" style="1"/>
  </cols>
  <sheetData>
    <row r="1" spans="2:30">
      <c r="B1" s="160">
        <f>温度条件他根拠!E7</f>
        <v>2</v>
      </c>
      <c r="C1" s="844" t="str">
        <f ca="1">RIGHT(CELL("filename",C1),LEN(CELL("filename",C1))-FIND("]",CELL("filename",C1)))</f>
        <v>熊谷市窓遮熱</v>
      </c>
      <c r="D1" s="81"/>
      <c r="E1" s="81"/>
      <c r="F1" s="81" t="s">
        <v>1018</v>
      </c>
      <c r="G1" s="81"/>
      <c r="H1" s="81"/>
      <c r="I1" s="81"/>
      <c r="J1" s="81"/>
      <c r="K1" s="81"/>
      <c r="L1" s="81"/>
      <c r="M1" s="81"/>
      <c r="N1" s="81"/>
      <c r="O1" s="81"/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819" t="s">
        <v>0</v>
      </c>
      <c r="C3" s="20" t="s">
        <v>40</v>
      </c>
      <c r="D3" s="20" t="s">
        <v>41</v>
      </c>
      <c r="E3" s="821" t="s">
        <v>1010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45</v>
      </c>
      <c r="O3" s="20" t="s">
        <v>44</v>
      </c>
      <c r="Q3" s="819" t="s">
        <v>0</v>
      </c>
      <c r="R3" s="20" t="s">
        <v>585</v>
      </c>
      <c r="S3" s="20" t="s">
        <v>586</v>
      </c>
      <c r="T3" s="821" t="s">
        <v>1010</v>
      </c>
      <c r="U3" s="20" t="s">
        <v>42</v>
      </c>
      <c r="V3" s="20" t="s">
        <v>43</v>
      </c>
      <c r="W3" s="18" t="s">
        <v>587</v>
      </c>
      <c r="X3" s="20" t="s">
        <v>588</v>
      </c>
      <c r="Y3" s="20" t="s">
        <v>2</v>
      </c>
      <c r="Z3" s="20" t="s">
        <v>3</v>
      </c>
      <c r="AA3" s="20" t="s">
        <v>589</v>
      </c>
      <c r="AB3" s="20" t="s">
        <v>590</v>
      </c>
      <c r="AC3" s="20" t="s">
        <v>591</v>
      </c>
      <c r="AD3" s="20" t="s">
        <v>592</v>
      </c>
    </row>
    <row r="4" spans="2:30" ht="24">
      <c r="B4" s="819" t="s">
        <v>14</v>
      </c>
      <c r="C4" s="20" t="s">
        <v>16</v>
      </c>
      <c r="D4" s="20" t="s">
        <v>17</v>
      </c>
      <c r="E4" s="821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820" t="s">
        <v>25</v>
      </c>
      <c r="O4" s="20" t="s">
        <v>32</v>
      </c>
      <c r="Q4" s="819" t="s">
        <v>14</v>
      </c>
      <c r="R4" s="20" t="s">
        <v>16</v>
      </c>
      <c r="S4" s="20" t="s">
        <v>17</v>
      </c>
      <c r="T4" s="821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820" t="s">
        <v>25</v>
      </c>
      <c r="AD4" s="20" t="s">
        <v>32</v>
      </c>
    </row>
    <row r="5" spans="2:30">
      <c r="B5" s="809" t="s">
        <v>15</v>
      </c>
      <c r="C5" s="5" t="s">
        <v>12</v>
      </c>
      <c r="D5" s="5" t="s">
        <v>12</v>
      </c>
      <c r="E5" s="822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10</v>
      </c>
      <c r="K5" s="5" t="s">
        <v>10</v>
      </c>
      <c r="L5" s="5" t="s">
        <v>11</v>
      </c>
      <c r="M5" s="5" t="s">
        <v>11</v>
      </c>
      <c r="N5" s="5" t="s">
        <v>11</v>
      </c>
      <c r="O5" s="809" t="s">
        <v>31</v>
      </c>
      <c r="Q5" s="809" t="s">
        <v>15</v>
      </c>
      <c r="R5" s="5" t="s">
        <v>12</v>
      </c>
      <c r="S5" s="5" t="s">
        <v>12</v>
      </c>
      <c r="T5" s="822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10</v>
      </c>
      <c r="Z5" s="5" t="s">
        <v>10</v>
      </c>
      <c r="AA5" s="5" t="s">
        <v>11</v>
      </c>
      <c r="AB5" s="5" t="s">
        <v>11</v>
      </c>
      <c r="AC5" s="5" t="s">
        <v>11</v>
      </c>
      <c r="AD5" s="809" t="s">
        <v>31</v>
      </c>
    </row>
    <row r="6" spans="2:30">
      <c r="B6" s="809">
        <v>1</v>
      </c>
      <c r="C6" s="3"/>
      <c r="D6" s="7">
        <f>結果!M155</f>
        <v>0</v>
      </c>
      <c r="E6" s="823">
        <f>温度条件他根拠!E17*6</f>
        <v>0</v>
      </c>
      <c r="F6" s="2">
        <v>0</v>
      </c>
      <c r="G6" s="6">
        <f>(温度条件他根拠!$E$11-温度条件他根拠!E9)/(温度条件他根拠!$E$11-温度条件他根拠!$E$9)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809">
        <v>1</v>
      </c>
      <c r="R6" s="3"/>
      <c r="S6" s="7">
        <f>結果!Q146</f>
        <v>0</v>
      </c>
      <c r="T6" s="823">
        <f>温度条件他根拠!E17*6</f>
        <v>0</v>
      </c>
      <c r="U6" s="2">
        <v>0</v>
      </c>
      <c r="V6" s="6">
        <f>(温度条件他根拠!$E$11-温度条件他根拠!T9)/(温度条件他根拠!$E$11-温度条件他根拠!$E$9)</f>
        <v>0.96618357487922713</v>
      </c>
      <c r="W6" s="7">
        <f>$R$13*T6*U6/1000</f>
        <v>0</v>
      </c>
      <c r="X6" s="7">
        <f>V6*T6*$S$6/1000</f>
        <v>0</v>
      </c>
      <c r="Y6" s="6">
        <f>温度条件他根拠!$D$25</f>
        <v>3.55</v>
      </c>
      <c r="Z6" s="6">
        <f>温度条件他根拠!$D$26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809">
        <v>2</v>
      </c>
      <c r="C7" s="3"/>
      <c r="D7" s="3"/>
      <c r="E7" s="823">
        <f>E6</f>
        <v>0</v>
      </c>
      <c r="F7" s="2">
        <v>0</v>
      </c>
      <c r="G7" s="6">
        <f>(温度条件他根拠!$E$11-0)/(温度条件他根拠!$E$11-温度条件他根拠!$E$9)</f>
        <v>0.96618357487922713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809">
        <v>2</v>
      </c>
      <c r="R7" s="3"/>
      <c r="S7" s="3"/>
      <c r="T7" s="823">
        <f>T6</f>
        <v>0</v>
      </c>
      <c r="U7" s="2">
        <v>0</v>
      </c>
      <c r="V7" s="6">
        <f>(温度条件他根拠!$E$11-0)/(温度条件他根拠!$E$11-温度条件他根拠!$E$9)</f>
        <v>0.96618357487922713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809">
        <v>3</v>
      </c>
      <c r="C8" s="3"/>
      <c r="D8" s="3"/>
      <c r="E8" s="823">
        <f>E7</f>
        <v>0</v>
      </c>
      <c r="F8" s="2">
        <v>0</v>
      </c>
      <c r="G8" s="6">
        <f>(温度条件他根拠!$E$11-3.1)/(温度条件他根拠!$E$11-温度条件他根拠!$E$9)</f>
        <v>0.81642512077294682</v>
      </c>
      <c r="H8" s="7">
        <f t="shared" si="2"/>
        <v>0</v>
      </c>
      <c r="I8" s="7">
        <f t="shared" si="3"/>
        <v>0</v>
      </c>
      <c r="J8" s="2">
        <f>J7</f>
        <v>3.55</v>
      </c>
      <c r="K8" s="6">
        <f>K7</f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809">
        <v>3</v>
      </c>
      <c r="R8" s="3"/>
      <c r="S8" s="3"/>
      <c r="T8" s="823">
        <f t="shared" ref="T8:T17" si="8">T7</f>
        <v>0</v>
      </c>
      <c r="U8" s="2">
        <v>0</v>
      </c>
      <c r="V8" s="6">
        <f>(温度条件他根拠!$E$11-3.1)/(温度条件他根拠!$E$11-温度条件他根拠!$E$9)</f>
        <v>0.81642512077294682</v>
      </c>
      <c r="W8" s="7">
        <f>$R$13*T8*U8/1000</f>
        <v>0</v>
      </c>
      <c r="X8" s="7">
        <f>V8*T8*$S$6/1000</f>
        <v>0</v>
      </c>
      <c r="Y8" s="2">
        <f>Y7</f>
        <v>3.55</v>
      </c>
      <c r="Z8" s="6">
        <f>Z7</f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809">
        <v>4</v>
      </c>
      <c r="C9" s="3"/>
      <c r="D9" s="3"/>
      <c r="E9" s="823">
        <f t="shared" ref="E9:E17" si="9">E8</f>
        <v>0</v>
      </c>
      <c r="F9" s="2">
        <v>0</v>
      </c>
      <c r="G9" s="6">
        <f>(温度条件他根拠!$E$11-8.4)/(温度条件他根拠!$E$11-温度条件他根拠!$E$9)</f>
        <v>0.56038647342995174</v>
      </c>
      <c r="H9" s="7">
        <f t="shared" si="2"/>
        <v>0</v>
      </c>
      <c r="I9" s="7">
        <f t="shared" si="3"/>
        <v>0</v>
      </c>
      <c r="J9" s="2">
        <f t="shared" ref="J9:K17" si="10">J8</f>
        <v>3.55</v>
      </c>
      <c r="K9" s="6">
        <f t="shared" si="10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809">
        <v>4</v>
      </c>
      <c r="R9" s="3"/>
      <c r="S9" s="3"/>
      <c r="T9" s="823">
        <f t="shared" si="8"/>
        <v>0</v>
      </c>
      <c r="U9" s="2">
        <v>0</v>
      </c>
      <c r="V9" s="6">
        <f>(温度条件他根拠!$E$11-8.4)/(温度条件他根拠!$E$11-温度条件他根拠!$E$9)</f>
        <v>0.56038647342995174</v>
      </c>
      <c r="W9" s="7">
        <f>$R$13*T9*U9/1000</f>
        <v>0</v>
      </c>
      <c r="X9" s="7">
        <f>V9*T9*$S$6/1000</f>
        <v>0</v>
      </c>
      <c r="Y9" s="2">
        <f t="shared" ref="Y9:Z17" si="11">Y8</f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809">
        <v>5</v>
      </c>
      <c r="C10" s="3"/>
      <c r="D10" s="3"/>
      <c r="E10" s="823">
        <f t="shared" si="9"/>
        <v>0</v>
      </c>
      <c r="F10" s="6">
        <f>(温度条件他根拠!$E$8-温度条件他根拠!$E$10)/(温度条件他根拠!$E$8-23.9)</f>
        <v>0.48749999999999982</v>
      </c>
      <c r="G10" s="6">
        <f>(温度条件他根拠!$E$11-13.4)/(温度条件他根拠!$E$11-温度条件他根拠!$E$9)</f>
        <v>0.3188405797101449</v>
      </c>
      <c r="H10" s="824">
        <f>0.25*$C$13*E10*F10/1000</f>
        <v>0</v>
      </c>
      <c r="I10" s="824">
        <f>0.25*G10*E10*$D$6/1000</f>
        <v>0</v>
      </c>
      <c r="J10" s="2">
        <f t="shared" si="10"/>
        <v>3.55</v>
      </c>
      <c r="K10" s="6">
        <f t="shared" si="10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809">
        <v>5</v>
      </c>
      <c r="R10" s="3"/>
      <c r="S10" s="3"/>
      <c r="T10" s="823">
        <f t="shared" si="8"/>
        <v>0</v>
      </c>
      <c r="U10" s="6">
        <f>(温度条件他根拠!$E$8-温度条件他根拠!$E$10)/(温度条件他根拠!$E$8-23.9)</f>
        <v>0.48749999999999982</v>
      </c>
      <c r="V10" s="6">
        <f>(温度条件他根拠!$E$11-13.4)/(温度条件他根拠!$E$11-温度条件他根拠!$E$9)</f>
        <v>0.3188405797101449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809">
        <v>6</v>
      </c>
      <c r="C11" s="3"/>
      <c r="D11" s="3"/>
      <c r="E11" s="823">
        <f t="shared" si="9"/>
        <v>0</v>
      </c>
      <c r="F11" s="6">
        <f>(温度条件他根拠!$E$8-温度条件他根拠!$E$10)/(温度条件他根拠!$E$8-26.4)</f>
        <v>0.70909090909090888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10"/>
        <v>3.55</v>
      </c>
      <c r="K11" s="6">
        <f t="shared" si="10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809">
        <v>6</v>
      </c>
      <c r="R11" s="3"/>
      <c r="S11" s="3"/>
      <c r="T11" s="823">
        <f t="shared" si="8"/>
        <v>0</v>
      </c>
      <c r="U11" s="6">
        <f>(温度条件他根拠!$E$8-温度条件他根拠!$E$10)/(温度条件他根拠!$E$8-26.4)</f>
        <v>0.70909090909090888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809">
        <v>7</v>
      </c>
      <c r="C12" s="3"/>
      <c r="D12" s="3"/>
      <c r="E12" s="823">
        <f t="shared" si="9"/>
        <v>0</v>
      </c>
      <c r="F12" s="6">
        <f>(温度条件他根拠!$E$8-温度条件他根拠!$E$10)/(温度条件他根拠!$E$8-28)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10"/>
        <v>3.55</v>
      </c>
      <c r="K12" s="6">
        <f t="shared" si="10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809">
        <v>7</v>
      </c>
      <c r="R12" s="3"/>
      <c r="S12" s="3"/>
      <c r="T12" s="823">
        <f t="shared" si="8"/>
        <v>0</v>
      </c>
      <c r="U12" s="6">
        <f>(温度条件他根拠!$E$8-温度条件他根拠!$E$10)/(温度条件他根拠!$E$8-28)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809">
        <v>8</v>
      </c>
      <c r="C13" s="7">
        <f>結果!I155</f>
        <v>0</v>
      </c>
      <c r="D13" s="3"/>
      <c r="E13" s="823">
        <f t="shared" si="9"/>
        <v>0</v>
      </c>
      <c r="F13" s="6">
        <f>(温度条件他根拠!$E$8-温度条件他根拠!$E$10)/(温度条件他根拠!$E$8-28)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10"/>
        <v>3.55</v>
      </c>
      <c r="K13" s="6">
        <f t="shared" si="10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809">
        <v>8</v>
      </c>
      <c r="R13" s="7">
        <f>結果!I146</f>
        <v>0</v>
      </c>
      <c r="S13" s="3"/>
      <c r="T13" s="823">
        <f t="shared" si="8"/>
        <v>0</v>
      </c>
      <c r="U13" s="6">
        <f>(温度条件他根拠!$E$8-温度条件他根拠!$E$10)/(温度条件他根拠!$E$8-28)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809">
        <v>9</v>
      </c>
      <c r="C14" s="3"/>
      <c r="D14" s="3"/>
      <c r="E14" s="823">
        <f t="shared" si="9"/>
        <v>0</v>
      </c>
      <c r="F14" s="6">
        <f>(温度条件他根拠!$E$8-温度条件他根拠!$E$10)/(温度条件他根拠!$E$8-27.2)</f>
        <v>0.82978723404255306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10"/>
        <v>3.55</v>
      </c>
      <c r="K14" s="6">
        <f t="shared" si="10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809">
        <v>9</v>
      </c>
      <c r="R14" s="3"/>
      <c r="S14" s="3"/>
      <c r="T14" s="823">
        <f t="shared" si="8"/>
        <v>0</v>
      </c>
      <c r="U14" s="6">
        <f>(温度条件他根拠!$E$8-温度条件他根拠!$E$10)/(温度条件他根拠!$E$8-27.2)</f>
        <v>0.82978723404255306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809">
        <v>10</v>
      </c>
      <c r="C15" s="3"/>
      <c r="D15" s="3"/>
      <c r="E15" s="823">
        <f t="shared" si="9"/>
        <v>0</v>
      </c>
      <c r="F15" s="6">
        <f>(温度条件他根拠!$E$8-温度条件他根拠!$E$10)/(温度条件他根拠!$E$8-21.7)</f>
        <v>0.38235294117647045</v>
      </c>
      <c r="G15" s="6">
        <f>(温度条件他根拠!$E$11-13)/(温度条件他根拠!$E$11-温度条件他根拠!$E$9)</f>
        <v>0.33816425120772947</v>
      </c>
      <c r="H15" s="824">
        <f>($C$13*E15*F15/1000)*0.25</f>
        <v>0</v>
      </c>
      <c r="I15" s="824">
        <f>(G15*E15*$D$6/1000)*0.25</f>
        <v>0</v>
      </c>
      <c r="J15" s="2">
        <f t="shared" si="10"/>
        <v>3.55</v>
      </c>
      <c r="K15" s="6">
        <f t="shared" si="10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809">
        <v>10</v>
      </c>
      <c r="R15" s="3"/>
      <c r="S15" s="3"/>
      <c r="T15" s="823">
        <f t="shared" si="8"/>
        <v>0</v>
      </c>
      <c r="U15" s="6">
        <f>(温度条件他根拠!$E$8-温度条件他根拠!$E$10)/(温度条件他根拠!$E$8-21.7)</f>
        <v>0.38235294117647045</v>
      </c>
      <c r="V15" s="6">
        <f>(温度条件他根拠!$E$11-13)/(温度条件他根拠!$E$11-温度条件他根拠!$E$9)</f>
        <v>0.33816425120772947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809">
        <v>11</v>
      </c>
      <c r="C16" s="3"/>
      <c r="D16" s="3"/>
      <c r="E16" s="823">
        <f t="shared" si="9"/>
        <v>0</v>
      </c>
      <c r="F16" s="2">
        <v>0</v>
      </c>
      <c r="G16" s="6">
        <f>(温度条件他根拠!$E$11-6.7)/(温度条件他根拠!$E$11-温度条件他根拠!$E$9)</f>
        <v>0.64251207729468607</v>
      </c>
      <c r="H16" s="7">
        <f t="shared" si="2"/>
        <v>0</v>
      </c>
      <c r="I16" s="7">
        <f t="shared" si="3"/>
        <v>0</v>
      </c>
      <c r="J16" s="2">
        <f t="shared" si="10"/>
        <v>3.55</v>
      </c>
      <c r="K16" s="6">
        <f t="shared" si="10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809">
        <v>11</v>
      </c>
      <c r="R16" s="3"/>
      <c r="S16" s="3"/>
      <c r="T16" s="823">
        <f t="shared" si="8"/>
        <v>0</v>
      </c>
      <c r="U16" s="2">
        <v>0</v>
      </c>
      <c r="V16" s="6">
        <f>(温度条件他根拠!$E$11-6.7)/(温度条件他根拠!$E$11-温度条件他根拠!$E$9)</f>
        <v>0.64251207729468607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809">
        <v>12</v>
      </c>
      <c r="C17" s="3"/>
      <c r="D17" s="3"/>
      <c r="E17" s="823">
        <f t="shared" si="9"/>
        <v>0</v>
      </c>
      <c r="F17" s="2">
        <v>0</v>
      </c>
      <c r="G17" s="6">
        <f>(温度条件他根拠!$E$11-1.6)/(温度条件他根拠!$E$11-温度条件他根拠!$E$9)</f>
        <v>0.88888888888888884</v>
      </c>
      <c r="H17" s="7">
        <f t="shared" si="2"/>
        <v>0</v>
      </c>
      <c r="I17" s="7">
        <f t="shared" si="3"/>
        <v>0</v>
      </c>
      <c r="J17" s="2">
        <f t="shared" si="10"/>
        <v>3.55</v>
      </c>
      <c r="K17" s="6">
        <f t="shared" si="10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809">
        <v>12</v>
      </c>
      <c r="R17" s="3"/>
      <c r="S17" s="3"/>
      <c r="T17" s="823">
        <f t="shared" si="8"/>
        <v>0</v>
      </c>
      <c r="U17" s="2">
        <v>0</v>
      </c>
      <c r="V17" s="6">
        <f>(温度条件他根拠!$E$11-1.6)/(温度条件他根拠!$E$11-温度条件他根拠!$E$9)</f>
        <v>0.88888888888888884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824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824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4" spans="2:3">
      <c r="B44" s="826">
        <v>43927</v>
      </c>
      <c r="C44" s="827" t="s">
        <v>1011</v>
      </c>
    </row>
    <row r="45" spans="2:3">
      <c r="B45" s="826">
        <v>43927</v>
      </c>
      <c r="C45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D43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300" t="s">
        <v>0</v>
      </c>
      <c r="R3" s="20" t="s">
        <v>40</v>
      </c>
      <c r="S3" s="20" t="s">
        <v>41</v>
      </c>
      <c r="T3" s="20" t="s">
        <v>8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21" t="s">
        <v>25</v>
      </c>
      <c r="O4" s="20" t="s">
        <v>32</v>
      </c>
      <c r="Q4" s="300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301" t="s">
        <v>25</v>
      </c>
      <c r="AD4" s="20" t="s">
        <v>32</v>
      </c>
    </row>
    <row r="5" spans="2:30">
      <c r="B5" s="4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4" t="s">
        <v>31</v>
      </c>
      <c r="Q5" s="299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299" t="s">
        <v>31</v>
      </c>
    </row>
    <row r="6" spans="2:30">
      <c r="B6" s="4">
        <v>1</v>
      </c>
      <c r="C6" s="3"/>
      <c r="D6" s="7">
        <f>結果!M112</f>
        <v>0</v>
      </c>
      <c r="E6" s="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L17" si="0">H6/J6</f>
        <v>0</v>
      </c>
      <c r="M6" s="7">
        <f t="shared" ref="M6:M17" si="1">I6/K6</f>
        <v>0</v>
      </c>
      <c r="N6" s="13">
        <f>L6+M6</f>
        <v>0</v>
      </c>
      <c r="O6" s="12">
        <f>N6*0.495/1000</f>
        <v>0</v>
      </c>
      <c r="Q6" s="299">
        <v>1</v>
      </c>
      <c r="R6" s="3"/>
      <c r="S6" s="7">
        <f>結果!Q113</f>
        <v>0</v>
      </c>
      <c r="T6" s="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A17" si="2">W6/Y6</f>
        <v>0</v>
      </c>
      <c r="AB6" s="7">
        <f t="shared" ref="AB6:AB17" si="3">X6/Z6</f>
        <v>0</v>
      </c>
      <c r="AC6" s="13">
        <f>AA6+AB6</f>
        <v>0</v>
      </c>
      <c r="AD6" s="12">
        <f>AC6*0.495/1000</f>
        <v>0</v>
      </c>
    </row>
    <row r="7" spans="2:30">
      <c r="B7" s="4">
        <v>2</v>
      </c>
      <c r="C7" s="3"/>
      <c r="D7" s="3"/>
      <c r="E7" s="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4">$C$13*E7*F7/1000</f>
        <v>0</v>
      </c>
      <c r="I7" s="7">
        <f t="shared" ref="I7:I17" si="5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1"/>
        <v>0</v>
      </c>
      <c r="N7" s="13">
        <f t="shared" ref="N7:N17" si="6">L7+M7</f>
        <v>0</v>
      </c>
      <c r="O7" s="12">
        <f t="shared" ref="O7:O17" si="7">N7*0.495/1000</f>
        <v>0</v>
      </c>
      <c r="Q7" s="299">
        <v>2</v>
      </c>
      <c r="R7" s="3"/>
      <c r="S7" s="3"/>
      <c r="T7" s="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2"/>
        <v>0</v>
      </c>
      <c r="AB7" s="7">
        <f t="shared" si="3"/>
        <v>0</v>
      </c>
      <c r="AC7" s="13">
        <f t="shared" ref="AC7:AC17" si="8">AA7+AB7</f>
        <v>0</v>
      </c>
      <c r="AD7" s="12">
        <f t="shared" ref="AD7:AD17" si="9">AC7*0.495/1000</f>
        <v>0</v>
      </c>
    </row>
    <row r="8" spans="2:30">
      <c r="B8" s="4">
        <v>3</v>
      </c>
      <c r="C8" s="3"/>
      <c r="D8" s="3"/>
      <c r="E8" s="2">
        <f t="shared" ref="E8:E17" si="10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4"/>
        <v>0</v>
      </c>
      <c r="I8" s="7">
        <f t="shared" si="5"/>
        <v>0</v>
      </c>
      <c r="J8" s="2">
        <f t="shared" ref="J8:K17" si="11">J7</f>
        <v>3.55</v>
      </c>
      <c r="K8" s="6">
        <f t="shared" si="11"/>
        <v>3.95</v>
      </c>
      <c r="L8" s="7">
        <f t="shared" si="0"/>
        <v>0</v>
      </c>
      <c r="M8" s="7">
        <f t="shared" si="1"/>
        <v>0</v>
      </c>
      <c r="N8" s="13">
        <f t="shared" si="6"/>
        <v>0</v>
      </c>
      <c r="O8" s="12">
        <f t="shared" si="7"/>
        <v>0</v>
      </c>
      <c r="Q8" s="299">
        <v>3</v>
      </c>
      <c r="R8" s="3"/>
      <c r="S8" s="3"/>
      <c r="T8" s="2">
        <f t="shared" ref="T8:T17" si="12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8" si="13">Y7</f>
        <v>3.55</v>
      </c>
      <c r="Z8" s="6">
        <f t="shared" si="13"/>
        <v>3.95</v>
      </c>
      <c r="AA8" s="7">
        <f t="shared" si="2"/>
        <v>0</v>
      </c>
      <c r="AB8" s="7">
        <f t="shared" si="3"/>
        <v>0</v>
      </c>
      <c r="AC8" s="13">
        <f t="shared" si="8"/>
        <v>0</v>
      </c>
      <c r="AD8" s="12">
        <f t="shared" si="9"/>
        <v>0</v>
      </c>
    </row>
    <row r="9" spans="2:30">
      <c r="B9" s="4">
        <v>4</v>
      </c>
      <c r="C9" s="3"/>
      <c r="D9" s="3"/>
      <c r="E9" s="2">
        <f t="shared" si="10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4"/>
        <v>0</v>
      </c>
      <c r="I9" s="7">
        <f t="shared" si="5"/>
        <v>0</v>
      </c>
      <c r="J9" s="2">
        <f t="shared" si="11"/>
        <v>3.55</v>
      </c>
      <c r="K9" s="6">
        <f t="shared" si="11"/>
        <v>3.95</v>
      </c>
      <c r="L9" s="7">
        <f t="shared" si="0"/>
        <v>0</v>
      </c>
      <c r="M9" s="7">
        <f t="shared" si="1"/>
        <v>0</v>
      </c>
      <c r="N9" s="13">
        <f t="shared" si="6"/>
        <v>0</v>
      </c>
      <c r="O9" s="12">
        <f t="shared" si="7"/>
        <v>0</v>
      </c>
      <c r="Q9" s="299">
        <v>4</v>
      </c>
      <c r="R9" s="3"/>
      <c r="S9" s="3"/>
      <c r="T9" s="2">
        <f t="shared" si="12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ref="Y9:Z9" si="14">Y8</f>
        <v>3.55</v>
      </c>
      <c r="Z9" s="6">
        <f t="shared" si="14"/>
        <v>3.95</v>
      </c>
      <c r="AA9" s="7">
        <f t="shared" si="2"/>
        <v>0</v>
      </c>
      <c r="AB9" s="7">
        <f t="shared" si="3"/>
        <v>0</v>
      </c>
      <c r="AC9" s="13">
        <f t="shared" si="8"/>
        <v>0</v>
      </c>
      <c r="AD9" s="12">
        <f t="shared" si="9"/>
        <v>0</v>
      </c>
    </row>
    <row r="10" spans="2:30">
      <c r="B10" s="4">
        <v>5</v>
      </c>
      <c r="C10" s="3"/>
      <c r="D10" s="3"/>
      <c r="E10" s="2">
        <f t="shared" si="10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824">
        <f>0.25*$C$13*E10*F10/1000</f>
        <v>0</v>
      </c>
      <c r="I10" s="824">
        <f>0.25*G10*E10*$D$6/1000</f>
        <v>0</v>
      </c>
      <c r="J10" s="2">
        <f t="shared" si="11"/>
        <v>3.55</v>
      </c>
      <c r="K10" s="6">
        <f t="shared" si="11"/>
        <v>3.95</v>
      </c>
      <c r="L10" s="7">
        <f t="shared" si="0"/>
        <v>0</v>
      </c>
      <c r="M10" s="7">
        <f t="shared" si="1"/>
        <v>0</v>
      </c>
      <c r="N10" s="13">
        <f t="shared" si="6"/>
        <v>0</v>
      </c>
      <c r="O10" s="12">
        <f t="shared" si="7"/>
        <v>0</v>
      </c>
      <c r="Q10" s="299">
        <v>5</v>
      </c>
      <c r="R10" s="3"/>
      <c r="S10" s="3"/>
      <c r="T10" s="2">
        <f t="shared" si="12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824">
        <f>0.25*$R$13*T10*U10/1000</f>
        <v>0</v>
      </c>
      <c r="X10" s="824">
        <f>0.25*V10*T10*$S$6/1000</f>
        <v>0</v>
      </c>
      <c r="Y10" s="2">
        <f t="shared" ref="Y10:Z10" si="15">Y9</f>
        <v>3.55</v>
      </c>
      <c r="Z10" s="6">
        <f t="shared" si="15"/>
        <v>3.95</v>
      </c>
      <c r="AA10" s="7">
        <f t="shared" si="2"/>
        <v>0</v>
      </c>
      <c r="AB10" s="7">
        <f t="shared" si="3"/>
        <v>0</v>
      </c>
      <c r="AC10" s="13">
        <f t="shared" si="8"/>
        <v>0</v>
      </c>
      <c r="AD10" s="12">
        <f t="shared" si="9"/>
        <v>0</v>
      </c>
    </row>
    <row r="11" spans="2:30">
      <c r="B11" s="4">
        <v>6</v>
      </c>
      <c r="C11" s="3"/>
      <c r="D11" s="3"/>
      <c r="E11" s="2">
        <f t="shared" si="10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4"/>
        <v>0</v>
      </c>
      <c r="I11" s="7">
        <f t="shared" si="5"/>
        <v>0</v>
      </c>
      <c r="J11" s="2">
        <f t="shared" si="11"/>
        <v>3.55</v>
      </c>
      <c r="K11" s="6">
        <f t="shared" si="11"/>
        <v>3.95</v>
      </c>
      <c r="L11" s="7">
        <f t="shared" si="0"/>
        <v>0</v>
      </c>
      <c r="M11" s="7">
        <f t="shared" si="1"/>
        <v>0</v>
      </c>
      <c r="N11" s="13">
        <f t="shared" si="6"/>
        <v>0</v>
      </c>
      <c r="O11" s="12">
        <f t="shared" si="7"/>
        <v>0</v>
      </c>
      <c r="Q11" s="299">
        <v>6</v>
      </c>
      <c r="R11" s="3"/>
      <c r="S11" s="3"/>
      <c r="T11" s="2">
        <f t="shared" si="12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ref="Y11:Z11" si="16">Y10</f>
        <v>3.55</v>
      </c>
      <c r="Z11" s="6">
        <f t="shared" si="16"/>
        <v>3.95</v>
      </c>
      <c r="AA11" s="7">
        <f t="shared" si="2"/>
        <v>0</v>
      </c>
      <c r="AB11" s="7">
        <f t="shared" si="3"/>
        <v>0</v>
      </c>
      <c r="AC11" s="13">
        <f t="shared" si="8"/>
        <v>0</v>
      </c>
      <c r="AD11" s="12">
        <f t="shared" si="9"/>
        <v>0</v>
      </c>
    </row>
    <row r="12" spans="2:30">
      <c r="B12" s="4">
        <v>7</v>
      </c>
      <c r="C12" s="3"/>
      <c r="D12" s="3"/>
      <c r="E12" s="2">
        <f t="shared" si="10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4"/>
        <v>0</v>
      </c>
      <c r="I12" s="7">
        <f t="shared" si="5"/>
        <v>0</v>
      </c>
      <c r="J12" s="2">
        <f t="shared" si="11"/>
        <v>3.55</v>
      </c>
      <c r="K12" s="6">
        <f t="shared" si="11"/>
        <v>3.95</v>
      </c>
      <c r="L12" s="7">
        <f t="shared" si="0"/>
        <v>0</v>
      </c>
      <c r="M12" s="7">
        <f t="shared" si="1"/>
        <v>0</v>
      </c>
      <c r="N12" s="13">
        <f t="shared" si="6"/>
        <v>0</v>
      </c>
      <c r="O12" s="12">
        <f t="shared" si="7"/>
        <v>0</v>
      </c>
      <c r="Q12" s="299">
        <v>7</v>
      </c>
      <c r="R12" s="3"/>
      <c r="S12" s="3"/>
      <c r="T12" s="2">
        <f t="shared" si="12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ref="Y12:Z12" si="17">Y11</f>
        <v>3.55</v>
      </c>
      <c r="Z12" s="6">
        <f t="shared" si="17"/>
        <v>3.95</v>
      </c>
      <c r="AA12" s="7">
        <f t="shared" si="2"/>
        <v>0</v>
      </c>
      <c r="AB12" s="7">
        <f t="shared" si="3"/>
        <v>0</v>
      </c>
      <c r="AC12" s="13">
        <f t="shared" si="8"/>
        <v>0</v>
      </c>
      <c r="AD12" s="12">
        <f t="shared" si="9"/>
        <v>0</v>
      </c>
    </row>
    <row r="13" spans="2:30">
      <c r="B13" s="4">
        <v>8</v>
      </c>
      <c r="C13" s="7">
        <f>結果!I112</f>
        <v>0</v>
      </c>
      <c r="D13" s="3"/>
      <c r="E13" s="2">
        <f t="shared" si="10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4"/>
        <v>0</v>
      </c>
      <c r="I13" s="7">
        <f t="shared" si="5"/>
        <v>0</v>
      </c>
      <c r="J13" s="2">
        <f t="shared" si="11"/>
        <v>3.55</v>
      </c>
      <c r="K13" s="6">
        <f t="shared" si="11"/>
        <v>3.95</v>
      </c>
      <c r="L13" s="7">
        <f t="shared" si="0"/>
        <v>0</v>
      </c>
      <c r="M13" s="7">
        <f t="shared" si="1"/>
        <v>0</v>
      </c>
      <c r="N13" s="13">
        <f t="shared" si="6"/>
        <v>0</v>
      </c>
      <c r="O13" s="12">
        <f t="shared" si="7"/>
        <v>0</v>
      </c>
      <c r="Q13" s="299">
        <v>8</v>
      </c>
      <c r="R13" s="7">
        <f>結果!I113</f>
        <v>0</v>
      </c>
      <c r="S13" s="3"/>
      <c r="T13" s="2">
        <f t="shared" si="12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ref="Y13:Z13" si="18">Y12</f>
        <v>3.55</v>
      </c>
      <c r="Z13" s="6">
        <f t="shared" si="18"/>
        <v>3.95</v>
      </c>
      <c r="AA13" s="7">
        <f t="shared" si="2"/>
        <v>0</v>
      </c>
      <c r="AB13" s="7">
        <f t="shared" si="3"/>
        <v>0</v>
      </c>
      <c r="AC13" s="13">
        <f t="shared" si="8"/>
        <v>0</v>
      </c>
      <c r="AD13" s="12">
        <f t="shared" si="9"/>
        <v>0</v>
      </c>
    </row>
    <row r="14" spans="2:30">
      <c r="B14" s="4">
        <v>9</v>
      </c>
      <c r="C14" s="3"/>
      <c r="D14" s="3"/>
      <c r="E14" s="2">
        <f t="shared" si="10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4"/>
        <v>0</v>
      </c>
      <c r="I14" s="7">
        <f t="shared" si="5"/>
        <v>0</v>
      </c>
      <c r="J14" s="2">
        <f t="shared" si="11"/>
        <v>3.55</v>
      </c>
      <c r="K14" s="6">
        <f t="shared" si="11"/>
        <v>3.95</v>
      </c>
      <c r="L14" s="7">
        <f t="shared" si="0"/>
        <v>0</v>
      </c>
      <c r="M14" s="7">
        <f t="shared" si="1"/>
        <v>0</v>
      </c>
      <c r="N14" s="13">
        <f t="shared" si="6"/>
        <v>0</v>
      </c>
      <c r="O14" s="12">
        <f t="shared" si="7"/>
        <v>0</v>
      </c>
      <c r="Q14" s="299">
        <v>9</v>
      </c>
      <c r="R14" s="3"/>
      <c r="S14" s="3"/>
      <c r="T14" s="2">
        <f t="shared" si="12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ref="Y14:Z14" si="19">Y13</f>
        <v>3.55</v>
      </c>
      <c r="Z14" s="6">
        <f t="shared" si="19"/>
        <v>3.95</v>
      </c>
      <c r="AA14" s="7">
        <f t="shared" si="2"/>
        <v>0</v>
      </c>
      <c r="AB14" s="7">
        <f t="shared" si="3"/>
        <v>0</v>
      </c>
      <c r="AC14" s="13">
        <f t="shared" si="8"/>
        <v>0</v>
      </c>
      <c r="AD14" s="12">
        <f t="shared" si="9"/>
        <v>0</v>
      </c>
    </row>
    <row r="15" spans="2:30">
      <c r="B15" s="4">
        <v>10</v>
      </c>
      <c r="C15" s="3"/>
      <c r="D15" s="3"/>
      <c r="E15" s="2">
        <f t="shared" si="10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824">
        <f>($C$13*E15*F15/1000)*0.25</f>
        <v>0</v>
      </c>
      <c r="I15" s="824">
        <f>(G15*E15*$D$6/1000)*0.25</f>
        <v>0</v>
      </c>
      <c r="J15" s="2">
        <f t="shared" si="11"/>
        <v>3.55</v>
      </c>
      <c r="K15" s="6">
        <f t="shared" si="11"/>
        <v>3.95</v>
      </c>
      <c r="L15" s="7">
        <f t="shared" si="0"/>
        <v>0</v>
      </c>
      <c r="M15" s="7">
        <f t="shared" si="1"/>
        <v>0</v>
      </c>
      <c r="N15" s="13">
        <f t="shared" si="6"/>
        <v>0</v>
      </c>
      <c r="O15" s="12">
        <f t="shared" si="7"/>
        <v>0</v>
      </c>
      <c r="Q15" s="299">
        <v>10</v>
      </c>
      <c r="R15" s="3"/>
      <c r="S15" s="3"/>
      <c r="T15" s="2">
        <f t="shared" si="12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824">
        <f>($R$13*T15*U15/1000)*0.25</f>
        <v>0</v>
      </c>
      <c r="X15" s="824">
        <f>(V15*T15*$S$6/1000)*0.25</f>
        <v>0</v>
      </c>
      <c r="Y15" s="2">
        <f t="shared" ref="Y15:Z15" si="20">Y14</f>
        <v>3.55</v>
      </c>
      <c r="Z15" s="6">
        <f t="shared" si="20"/>
        <v>3.95</v>
      </c>
      <c r="AA15" s="7">
        <f t="shared" si="2"/>
        <v>0</v>
      </c>
      <c r="AB15" s="7">
        <f t="shared" si="3"/>
        <v>0</v>
      </c>
      <c r="AC15" s="13">
        <f t="shared" si="8"/>
        <v>0</v>
      </c>
      <c r="AD15" s="12">
        <f t="shared" si="9"/>
        <v>0</v>
      </c>
    </row>
    <row r="16" spans="2:30">
      <c r="B16" s="4">
        <v>11</v>
      </c>
      <c r="C16" s="3"/>
      <c r="D16" s="3"/>
      <c r="E16" s="2">
        <f t="shared" si="10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4"/>
        <v>0</v>
      </c>
      <c r="I16" s="7">
        <f t="shared" si="5"/>
        <v>0</v>
      </c>
      <c r="J16" s="2">
        <f t="shared" si="11"/>
        <v>3.55</v>
      </c>
      <c r="K16" s="6">
        <f t="shared" si="11"/>
        <v>3.95</v>
      </c>
      <c r="L16" s="7">
        <f t="shared" si="0"/>
        <v>0</v>
      </c>
      <c r="M16" s="7">
        <f t="shared" si="1"/>
        <v>0</v>
      </c>
      <c r="N16" s="13">
        <f t="shared" si="6"/>
        <v>0</v>
      </c>
      <c r="O16" s="12">
        <f t="shared" si="7"/>
        <v>0</v>
      </c>
      <c r="Q16" s="299">
        <v>11</v>
      </c>
      <c r="R16" s="3"/>
      <c r="S16" s="3"/>
      <c r="T16" s="2">
        <f t="shared" si="12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ref="Y16:Z16" si="21">Y15</f>
        <v>3.55</v>
      </c>
      <c r="Z16" s="6">
        <f t="shared" si="21"/>
        <v>3.95</v>
      </c>
      <c r="AA16" s="7">
        <f t="shared" si="2"/>
        <v>0</v>
      </c>
      <c r="AB16" s="7">
        <f t="shared" si="3"/>
        <v>0</v>
      </c>
      <c r="AC16" s="13">
        <f t="shared" si="8"/>
        <v>0</v>
      </c>
      <c r="AD16" s="12">
        <f t="shared" si="9"/>
        <v>0</v>
      </c>
    </row>
    <row r="17" spans="2:30">
      <c r="B17" s="4">
        <v>12</v>
      </c>
      <c r="C17" s="3"/>
      <c r="D17" s="3"/>
      <c r="E17" s="2">
        <f t="shared" si="10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4"/>
        <v>0</v>
      </c>
      <c r="I17" s="7">
        <f t="shared" si="5"/>
        <v>0</v>
      </c>
      <c r="J17" s="2">
        <f t="shared" si="11"/>
        <v>3.55</v>
      </c>
      <c r="K17" s="6">
        <f t="shared" si="11"/>
        <v>3.95</v>
      </c>
      <c r="L17" s="7">
        <f t="shared" si="0"/>
        <v>0</v>
      </c>
      <c r="M17" s="7">
        <f t="shared" si="1"/>
        <v>0</v>
      </c>
      <c r="N17" s="13">
        <f t="shared" si="6"/>
        <v>0</v>
      </c>
      <c r="O17" s="12">
        <f t="shared" si="7"/>
        <v>0</v>
      </c>
      <c r="Q17" s="299">
        <v>12</v>
      </c>
      <c r="R17" s="3"/>
      <c r="S17" s="3"/>
      <c r="T17" s="2">
        <f t="shared" si="12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ref="Y17:Z17" si="22">Y16</f>
        <v>3.55</v>
      </c>
      <c r="Z17" s="6">
        <f t="shared" si="22"/>
        <v>3.95</v>
      </c>
      <c r="AA17" s="7">
        <f t="shared" si="2"/>
        <v>0</v>
      </c>
      <c r="AB17" s="7">
        <f t="shared" si="3"/>
        <v>0</v>
      </c>
      <c r="AC17" s="13">
        <f t="shared" si="8"/>
        <v>0</v>
      </c>
      <c r="AD17" s="12">
        <f t="shared" si="9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844" t="str">
        <f ca="1">RIGHT(CELL("filename",C1),LEN(CELL("filename",C1))-FIND("]",CELL("filename",C1)))</f>
        <v>秩父市屋根</v>
      </c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6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619" t="s">
        <v>0</v>
      </c>
      <c r="R3" s="20" t="s">
        <v>40</v>
      </c>
      <c r="S3" s="20" t="s">
        <v>41</v>
      </c>
      <c r="T3" s="20" t="s">
        <v>8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6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616" t="s">
        <v>31</v>
      </c>
      <c r="Q5" s="61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616" t="s">
        <v>31</v>
      </c>
    </row>
    <row r="6" spans="2:30">
      <c r="B6" s="616">
        <v>1</v>
      </c>
      <c r="C6" s="3"/>
      <c r="D6" s="7">
        <f>結果!M125</f>
        <v>0</v>
      </c>
      <c r="E6" s="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結果!Q126</f>
        <v>0</v>
      </c>
      <c r="T6" s="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2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2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2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2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824">
        <f>0.25*$C$13*E10*F10/1000</f>
        <v>0</v>
      </c>
      <c r="I10" s="824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2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2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2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2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2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結果!I125</f>
        <v>0</v>
      </c>
      <c r="D13" s="3"/>
      <c r="E13" s="2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結果!I126</f>
        <v>0</v>
      </c>
      <c r="S13" s="3"/>
      <c r="T13" s="2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2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2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2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824">
        <f>($C$13*E15*F15/1000)*0.25</f>
        <v>0</v>
      </c>
      <c r="I15" s="824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2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2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2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2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2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844" t="str">
        <f ca="1">RIGHT(CELL("filename",C1),LEN(CELL("filename",C1))-FIND("]",CELL("filename",C1)))</f>
        <v>秩父市外壁</v>
      </c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619" t="s">
        <v>0</v>
      </c>
      <c r="C3" s="20" t="s">
        <v>40</v>
      </c>
      <c r="D3" s="20" t="s">
        <v>41</v>
      </c>
      <c r="E3" s="20" t="s">
        <v>8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619" t="s">
        <v>0</v>
      </c>
      <c r="R3" s="20" t="s">
        <v>40</v>
      </c>
      <c r="S3" s="20" t="s">
        <v>41</v>
      </c>
      <c r="T3" s="20" t="s">
        <v>8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619" t="s">
        <v>14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2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5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616" t="s">
        <v>31</v>
      </c>
      <c r="Q5" s="616" t="s">
        <v>15</v>
      </c>
      <c r="R5" s="5" t="s">
        <v>12</v>
      </c>
      <c r="S5" s="5" t="s">
        <v>12</v>
      </c>
      <c r="T5" s="5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616" t="s">
        <v>31</v>
      </c>
    </row>
    <row r="6" spans="2:30">
      <c r="B6" s="616">
        <v>1</v>
      </c>
      <c r="C6" s="3"/>
      <c r="D6" s="7">
        <f>結果!M135</f>
        <v>0</v>
      </c>
      <c r="E6" s="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結果!Q136</f>
        <v>0</v>
      </c>
      <c r="T6" s="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2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2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2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2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2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824">
        <f>0.25*$C$13*E10*F10/1000</f>
        <v>0</v>
      </c>
      <c r="I10" s="824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2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2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2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2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2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結果!I135</f>
        <v>0</v>
      </c>
      <c r="D13" s="3"/>
      <c r="E13" s="2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結果!I136</f>
        <v>0</v>
      </c>
      <c r="S13" s="3"/>
      <c r="T13" s="2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2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2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2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824">
        <f>($C$13*E15*F15/1000)*0.25</f>
        <v>0</v>
      </c>
      <c r="I15" s="824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2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2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2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2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2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7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7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844" t="str">
        <f ca="1">RIGHT(CELL("filename",C1),LEN(CELL("filename",C1))-FIND("]",CELL("filename",C1)))</f>
        <v>秩父市窓断熱</v>
      </c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619" t="s">
        <v>0</v>
      </c>
      <c r="C3" s="20" t="s">
        <v>40</v>
      </c>
      <c r="D3" s="20" t="s">
        <v>41</v>
      </c>
      <c r="E3" s="840" t="s">
        <v>1010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619" t="s">
        <v>0</v>
      </c>
      <c r="R3" s="20" t="s">
        <v>40</v>
      </c>
      <c r="S3" s="20" t="s">
        <v>41</v>
      </c>
      <c r="T3" s="840" t="s">
        <v>1010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619" t="s">
        <v>14</v>
      </c>
      <c r="C4" s="20" t="s">
        <v>16</v>
      </c>
      <c r="D4" s="20" t="s">
        <v>17</v>
      </c>
      <c r="E4" s="840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620" t="s">
        <v>25</v>
      </c>
      <c r="O4" s="20" t="s">
        <v>32</v>
      </c>
      <c r="Q4" s="619" t="s">
        <v>14</v>
      </c>
      <c r="R4" s="20" t="s">
        <v>16</v>
      </c>
      <c r="S4" s="20" t="s">
        <v>17</v>
      </c>
      <c r="T4" s="840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620" t="s">
        <v>25</v>
      </c>
      <c r="AD4" s="20" t="s">
        <v>32</v>
      </c>
    </row>
    <row r="5" spans="2:30">
      <c r="B5" s="616" t="s">
        <v>15</v>
      </c>
      <c r="C5" s="5" t="s">
        <v>12</v>
      </c>
      <c r="D5" s="5" t="s">
        <v>12</v>
      </c>
      <c r="E5" s="841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616" t="s">
        <v>31</v>
      </c>
      <c r="Q5" s="616" t="s">
        <v>15</v>
      </c>
      <c r="R5" s="5" t="s">
        <v>12</v>
      </c>
      <c r="S5" s="5" t="s">
        <v>12</v>
      </c>
      <c r="T5" s="841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616" t="s">
        <v>31</v>
      </c>
    </row>
    <row r="6" spans="2:30">
      <c r="B6" s="616">
        <v>1</v>
      </c>
      <c r="C6" s="3"/>
      <c r="D6" s="7">
        <f>結果!M145</f>
        <v>0</v>
      </c>
      <c r="E6" s="842">
        <f>温度条件他根拠!E17*温度条件他根拠!E18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616">
        <v>1</v>
      </c>
      <c r="R6" s="3"/>
      <c r="S6" s="7">
        <f>結果!Q146</f>
        <v>0</v>
      </c>
      <c r="T6" s="842">
        <f>温度条件他根拠!E17*温度条件他根拠!E18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616">
        <v>2</v>
      </c>
      <c r="C7" s="3"/>
      <c r="D7" s="3"/>
      <c r="E7" s="842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616">
        <v>2</v>
      </c>
      <c r="R7" s="3"/>
      <c r="S7" s="3"/>
      <c r="T7" s="842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616">
        <v>3</v>
      </c>
      <c r="C8" s="3"/>
      <c r="D8" s="3"/>
      <c r="E8" s="842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616">
        <v>3</v>
      </c>
      <c r="R8" s="3"/>
      <c r="S8" s="3"/>
      <c r="T8" s="842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616">
        <v>4</v>
      </c>
      <c r="C9" s="3"/>
      <c r="D9" s="3"/>
      <c r="E9" s="842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616">
        <v>4</v>
      </c>
      <c r="R9" s="3"/>
      <c r="S9" s="3"/>
      <c r="T9" s="842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616">
        <v>5</v>
      </c>
      <c r="C10" s="3"/>
      <c r="D10" s="3"/>
      <c r="E10" s="842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824">
        <f>0.25*$C$13*E10*F10/1000</f>
        <v>0</v>
      </c>
      <c r="I10" s="824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616">
        <v>5</v>
      </c>
      <c r="R10" s="3"/>
      <c r="S10" s="3"/>
      <c r="T10" s="842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616">
        <v>6</v>
      </c>
      <c r="C11" s="3"/>
      <c r="D11" s="3"/>
      <c r="E11" s="842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616">
        <v>6</v>
      </c>
      <c r="R11" s="3"/>
      <c r="S11" s="3"/>
      <c r="T11" s="842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616">
        <v>7</v>
      </c>
      <c r="C12" s="3"/>
      <c r="D12" s="3"/>
      <c r="E12" s="842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616">
        <v>7</v>
      </c>
      <c r="R12" s="3"/>
      <c r="S12" s="3"/>
      <c r="T12" s="842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616">
        <v>8</v>
      </c>
      <c r="C13" s="7">
        <f>結果!I145</f>
        <v>0</v>
      </c>
      <c r="D13" s="3"/>
      <c r="E13" s="842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616">
        <v>8</v>
      </c>
      <c r="R13" s="7">
        <f>結果!I146</f>
        <v>0</v>
      </c>
      <c r="S13" s="3"/>
      <c r="T13" s="842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616">
        <v>9</v>
      </c>
      <c r="C14" s="3"/>
      <c r="D14" s="3"/>
      <c r="E14" s="842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616">
        <v>9</v>
      </c>
      <c r="R14" s="3"/>
      <c r="S14" s="3"/>
      <c r="T14" s="842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616">
        <v>10</v>
      </c>
      <c r="C15" s="3"/>
      <c r="D15" s="3"/>
      <c r="E15" s="842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824">
        <f>($C$13*E15*F15/1000)*0.25</f>
        <v>0</v>
      </c>
      <c r="I15" s="824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616">
        <v>10</v>
      </c>
      <c r="R15" s="3"/>
      <c r="S15" s="3"/>
      <c r="T15" s="842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616">
        <v>11</v>
      </c>
      <c r="C16" s="3"/>
      <c r="D16" s="3"/>
      <c r="E16" s="842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616">
        <v>11</v>
      </c>
      <c r="R16" s="3"/>
      <c r="S16" s="3"/>
      <c r="T16" s="842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616">
        <v>12</v>
      </c>
      <c r="C17" s="3"/>
      <c r="D17" s="3"/>
      <c r="E17" s="842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616">
        <v>12</v>
      </c>
      <c r="R17" s="3"/>
      <c r="S17" s="3"/>
      <c r="T17" s="842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843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843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7" t="s">
        <v>1011</v>
      </c>
    </row>
    <row r="44" spans="2:3">
      <c r="B44" s="826">
        <v>43927</v>
      </c>
      <c r="C44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AL53"/>
  <sheetViews>
    <sheetView view="pageBreakPreview" topLeftCell="A25" zoomScaleNormal="100" zoomScaleSheetLayoutView="100" workbookViewId="0">
      <selection activeCell="A3" sqref="A3:D4"/>
    </sheetView>
  </sheetViews>
  <sheetFormatPr defaultRowHeight="13.5"/>
  <cols>
    <col min="1" max="1" width="2.25" style="648" customWidth="1"/>
    <col min="2" max="34" width="2.625" style="648" customWidth="1"/>
    <col min="35" max="256" width="9" style="648"/>
    <col min="257" max="257" width="2.25" style="648" customWidth="1"/>
    <col min="258" max="290" width="2.625" style="648" customWidth="1"/>
    <col min="291" max="512" width="9" style="648"/>
    <col min="513" max="513" width="2.25" style="648" customWidth="1"/>
    <col min="514" max="546" width="2.625" style="648" customWidth="1"/>
    <col min="547" max="768" width="9" style="648"/>
    <col min="769" max="769" width="2.25" style="648" customWidth="1"/>
    <col min="770" max="802" width="2.625" style="648" customWidth="1"/>
    <col min="803" max="1024" width="9" style="648"/>
    <col min="1025" max="1025" width="2.25" style="648" customWidth="1"/>
    <col min="1026" max="1058" width="2.625" style="648" customWidth="1"/>
    <col min="1059" max="1280" width="9" style="648"/>
    <col min="1281" max="1281" width="2.25" style="648" customWidth="1"/>
    <col min="1282" max="1314" width="2.625" style="648" customWidth="1"/>
    <col min="1315" max="1536" width="9" style="648"/>
    <col min="1537" max="1537" width="2.25" style="648" customWidth="1"/>
    <col min="1538" max="1570" width="2.625" style="648" customWidth="1"/>
    <col min="1571" max="1792" width="9" style="648"/>
    <col min="1793" max="1793" width="2.25" style="648" customWidth="1"/>
    <col min="1794" max="1826" width="2.625" style="648" customWidth="1"/>
    <col min="1827" max="2048" width="9" style="648"/>
    <col min="2049" max="2049" width="2.25" style="648" customWidth="1"/>
    <col min="2050" max="2082" width="2.625" style="648" customWidth="1"/>
    <col min="2083" max="2304" width="9" style="648"/>
    <col min="2305" max="2305" width="2.25" style="648" customWidth="1"/>
    <col min="2306" max="2338" width="2.625" style="648" customWidth="1"/>
    <col min="2339" max="2560" width="9" style="648"/>
    <col min="2561" max="2561" width="2.25" style="648" customWidth="1"/>
    <col min="2562" max="2594" width="2.625" style="648" customWidth="1"/>
    <col min="2595" max="2816" width="9" style="648"/>
    <col min="2817" max="2817" width="2.25" style="648" customWidth="1"/>
    <col min="2818" max="2850" width="2.625" style="648" customWidth="1"/>
    <col min="2851" max="3072" width="9" style="648"/>
    <col min="3073" max="3073" width="2.25" style="648" customWidth="1"/>
    <col min="3074" max="3106" width="2.625" style="648" customWidth="1"/>
    <col min="3107" max="3328" width="9" style="648"/>
    <col min="3329" max="3329" width="2.25" style="648" customWidth="1"/>
    <col min="3330" max="3362" width="2.625" style="648" customWidth="1"/>
    <col min="3363" max="3584" width="9" style="648"/>
    <col min="3585" max="3585" width="2.25" style="648" customWidth="1"/>
    <col min="3586" max="3618" width="2.625" style="648" customWidth="1"/>
    <col min="3619" max="3840" width="9" style="648"/>
    <col min="3841" max="3841" width="2.25" style="648" customWidth="1"/>
    <col min="3842" max="3874" width="2.625" style="648" customWidth="1"/>
    <col min="3875" max="4096" width="9" style="648"/>
    <col min="4097" max="4097" width="2.25" style="648" customWidth="1"/>
    <col min="4098" max="4130" width="2.625" style="648" customWidth="1"/>
    <col min="4131" max="4352" width="9" style="648"/>
    <col min="4353" max="4353" width="2.25" style="648" customWidth="1"/>
    <col min="4354" max="4386" width="2.625" style="648" customWidth="1"/>
    <col min="4387" max="4608" width="9" style="648"/>
    <col min="4609" max="4609" width="2.25" style="648" customWidth="1"/>
    <col min="4610" max="4642" width="2.625" style="648" customWidth="1"/>
    <col min="4643" max="4864" width="9" style="648"/>
    <col min="4865" max="4865" width="2.25" style="648" customWidth="1"/>
    <col min="4866" max="4898" width="2.625" style="648" customWidth="1"/>
    <col min="4899" max="5120" width="9" style="648"/>
    <col min="5121" max="5121" width="2.25" style="648" customWidth="1"/>
    <col min="5122" max="5154" width="2.625" style="648" customWidth="1"/>
    <col min="5155" max="5376" width="9" style="648"/>
    <col min="5377" max="5377" width="2.25" style="648" customWidth="1"/>
    <col min="5378" max="5410" width="2.625" style="648" customWidth="1"/>
    <col min="5411" max="5632" width="9" style="648"/>
    <col min="5633" max="5633" width="2.25" style="648" customWidth="1"/>
    <col min="5634" max="5666" width="2.625" style="648" customWidth="1"/>
    <col min="5667" max="5888" width="9" style="648"/>
    <col min="5889" max="5889" width="2.25" style="648" customWidth="1"/>
    <col min="5890" max="5922" width="2.625" style="648" customWidth="1"/>
    <col min="5923" max="6144" width="9" style="648"/>
    <col min="6145" max="6145" width="2.25" style="648" customWidth="1"/>
    <col min="6146" max="6178" width="2.625" style="648" customWidth="1"/>
    <col min="6179" max="6400" width="9" style="648"/>
    <col min="6401" max="6401" width="2.25" style="648" customWidth="1"/>
    <col min="6402" max="6434" width="2.625" style="648" customWidth="1"/>
    <col min="6435" max="6656" width="9" style="648"/>
    <col min="6657" max="6657" width="2.25" style="648" customWidth="1"/>
    <col min="6658" max="6690" width="2.625" style="648" customWidth="1"/>
    <col min="6691" max="6912" width="9" style="648"/>
    <col min="6913" max="6913" width="2.25" style="648" customWidth="1"/>
    <col min="6914" max="6946" width="2.625" style="648" customWidth="1"/>
    <col min="6947" max="7168" width="9" style="648"/>
    <col min="7169" max="7169" width="2.25" style="648" customWidth="1"/>
    <col min="7170" max="7202" width="2.625" style="648" customWidth="1"/>
    <col min="7203" max="7424" width="9" style="648"/>
    <col min="7425" max="7425" width="2.25" style="648" customWidth="1"/>
    <col min="7426" max="7458" width="2.625" style="648" customWidth="1"/>
    <col min="7459" max="7680" width="9" style="648"/>
    <col min="7681" max="7681" width="2.25" style="648" customWidth="1"/>
    <col min="7682" max="7714" width="2.625" style="648" customWidth="1"/>
    <col min="7715" max="7936" width="9" style="648"/>
    <col min="7937" max="7937" width="2.25" style="648" customWidth="1"/>
    <col min="7938" max="7970" width="2.625" style="648" customWidth="1"/>
    <col min="7971" max="8192" width="9" style="648"/>
    <col min="8193" max="8193" width="2.25" style="648" customWidth="1"/>
    <col min="8194" max="8226" width="2.625" style="648" customWidth="1"/>
    <col min="8227" max="8448" width="9" style="648"/>
    <col min="8449" max="8449" width="2.25" style="648" customWidth="1"/>
    <col min="8450" max="8482" width="2.625" style="648" customWidth="1"/>
    <col min="8483" max="8704" width="9" style="648"/>
    <col min="8705" max="8705" width="2.25" style="648" customWidth="1"/>
    <col min="8706" max="8738" width="2.625" style="648" customWidth="1"/>
    <col min="8739" max="8960" width="9" style="648"/>
    <col min="8961" max="8961" width="2.25" style="648" customWidth="1"/>
    <col min="8962" max="8994" width="2.625" style="648" customWidth="1"/>
    <col min="8995" max="9216" width="9" style="648"/>
    <col min="9217" max="9217" width="2.25" style="648" customWidth="1"/>
    <col min="9218" max="9250" width="2.625" style="648" customWidth="1"/>
    <col min="9251" max="9472" width="9" style="648"/>
    <col min="9473" max="9473" width="2.25" style="648" customWidth="1"/>
    <col min="9474" max="9506" width="2.625" style="648" customWidth="1"/>
    <col min="9507" max="9728" width="9" style="648"/>
    <col min="9729" max="9729" width="2.25" style="648" customWidth="1"/>
    <col min="9730" max="9762" width="2.625" style="648" customWidth="1"/>
    <col min="9763" max="9984" width="9" style="648"/>
    <col min="9985" max="9985" width="2.25" style="648" customWidth="1"/>
    <col min="9986" max="10018" width="2.625" style="648" customWidth="1"/>
    <col min="10019" max="10240" width="9" style="648"/>
    <col min="10241" max="10241" width="2.25" style="648" customWidth="1"/>
    <col min="10242" max="10274" width="2.625" style="648" customWidth="1"/>
    <col min="10275" max="10496" width="9" style="648"/>
    <col min="10497" max="10497" width="2.25" style="648" customWidth="1"/>
    <col min="10498" max="10530" width="2.625" style="648" customWidth="1"/>
    <col min="10531" max="10752" width="9" style="648"/>
    <col min="10753" max="10753" width="2.25" style="648" customWidth="1"/>
    <col min="10754" max="10786" width="2.625" style="648" customWidth="1"/>
    <col min="10787" max="11008" width="9" style="648"/>
    <col min="11009" max="11009" width="2.25" style="648" customWidth="1"/>
    <col min="11010" max="11042" width="2.625" style="648" customWidth="1"/>
    <col min="11043" max="11264" width="9" style="648"/>
    <col min="11265" max="11265" width="2.25" style="648" customWidth="1"/>
    <col min="11266" max="11298" width="2.625" style="648" customWidth="1"/>
    <col min="11299" max="11520" width="9" style="648"/>
    <col min="11521" max="11521" width="2.25" style="648" customWidth="1"/>
    <col min="11522" max="11554" width="2.625" style="648" customWidth="1"/>
    <col min="11555" max="11776" width="9" style="648"/>
    <col min="11777" max="11777" width="2.25" style="648" customWidth="1"/>
    <col min="11778" max="11810" width="2.625" style="648" customWidth="1"/>
    <col min="11811" max="12032" width="9" style="648"/>
    <col min="12033" max="12033" width="2.25" style="648" customWidth="1"/>
    <col min="12034" max="12066" width="2.625" style="648" customWidth="1"/>
    <col min="12067" max="12288" width="9" style="648"/>
    <col min="12289" max="12289" width="2.25" style="648" customWidth="1"/>
    <col min="12290" max="12322" width="2.625" style="648" customWidth="1"/>
    <col min="12323" max="12544" width="9" style="648"/>
    <col min="12545" max="12545" width="2.25" style="648" customWidth="1"/>
    <col min="12546" max="12578" width="2.625" style="648" customWidth="1"/>
    <col min="12579" max="12800" width="9" style="648"/>
    <col min="12801" max="12801" width="2.25" style="648" customWidth="1"/>
    <col min="12802" max="12834" width="2.625" style="648" customWidth="1"/>
    <col min="12835" max="13056" width="9" style="648"/>
    <col min="13057" max="13057" width="2.25" style="648" customWidth="1"/>
    <col min="13058" max="13090" width="2.625" style="648" customWidth="1"/>
    <col min="13091" max="13312" width="9" style="648"/>
    <col min="13313" max="13313" width="2.25" style="648" customWidth="1"/>
    <col min="13314" max="13346" width="2.625" style="648" customWidth="1"/>
    <col min="13347" max="13568" width="9" style="648"/>
    <col min="13569" max="13569" width="2.25" style="648" customWidth="1"/>
    <col min="13570" max="13602" width="2.625" style="648" customWidth="1"/>
    <col min="13603" max="13824" width="9" style="648"/>
    <col min="13825" max="13825" width="2.25" style="648" customWidth="1"/>
    <col min="13826" max="13858" width="2.625" style="648" customWidth="1"/>
    <col min="13859" max="14080" width="9" style="648"/>
    <col min="14081" max="14081" width="2.25" style="648" customWidth="1"/>
    <col min="14082" max="14114" width="2.625" style="648" customWidth="1"/>
    <col min="14115" max="14336" width="9" style="648"/>
    <col min="14337" max="14337" width="2.25" style="648" customWidth="1"/>
    <col min="14338" max="14370" width="2.625" style="648" customWidth="1"/>
    <col min="14371" max="14592" width="9" style="648"/>
    <col min="14593" max="14593" width="2.25" style="648" customWidth="1"/>
    <col min="14594" max="14626" width="2.625" style="648" customWidth="1"/>
    <col min="14627" max="14848" width="9" style="648"/>
    <col min="14849" max="14849" width="2.25" style="648" customWidth="1"/>
    <col min="14850" max="14882" width="2.625" style="648" customWidth="1"/>
    <col min="14883" max="15104" width="9" style="648"/>
    <col min="15105" max="15105" width="2.25" style="648" customWidth="1"/>
    <col min="15106" max="15138" width="2.625" style="648" customWidth="1"/>
    <col min="15139" max="15360" width="9" style="648"/>
    <col min="15361" max="15361" width="2.25" style="648" customWidth="1"/>
    <col min="15362" max="15394" width="2.625" style="648" customWidth="1"/>
    <col min="15395" max="15616" width="9" style="648"/>
    <col min="15617" max="15617" width="2.25" style="648" customWidth="1"/>
    <col min="15618" max="15650" width="2.625" style="648" customWidth="1"/>
    <col min="15651" max="15872" width="9" style="648"/>
    <col min="15873" max="15873" width="2.25" style="648" customWidth="1"/>
    <col min="15874" max="15906" width="2.625" style="648" customWidth="1"/>
    <col min="15907" max="16128" width="9" style="648"/>
    <col min="16129" max="16129" width="2.25" style="648" customWidth="1"/>
    <col min="16130" max="16162" width="2.625" style="648" customWidth="1"/>
    <col min="16163" max="16384" width="9" style="648"/>
  </cols>
  <sheetData>
    <row r="1" spans="1:34" ht="21" customHeight="1">
      <c r="A1" s="647"/>
      <c r="B1" s="647"/>
      <c r="C1" s="647"/>
      <c r="D1" s="647"/>
      <c r="E1" s="303"/>
      <c r="F1" s="303"/>
      <c r="G1" s="303"/>
      <c r="H1" s="303"/>
      <c r="I1" s="303"/>
      <c r="J1" s="303"/>
      <c r="K1" s="303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</row>
    <row r="2" spans="1:34">
      <c r="A2" s="648" t="s">
        <v>569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</row>
    <row r="3" spans="1:34">
      <c r="A3" s="958" t="s">
        <v>1026</v>
      </c>
      <c r="B3" s="952"/>
      <c r="C3" s="952"/>
      <c r="D3" s="956"/>
      <c r="E3" s="958" t="s">
        <v>1027</v>
      </c>
      <c r="F3" s="952"/>
      <c r="G3" s="952"/>
      <c r="H3" s="954"/>
      <c r="I3" s="954"/>
      <c r="J3" s="952" t="s">
        <v>651</v>
      </c>
      <c r="K3" s="952"/>
      <c r="L3" s="954"/>
      <c r="M3" s="954"/>
      <c r="N3" s="952" t="s">
        <v>1028</v>
      </c>
      <c r="O3" s="952"/>
      <c r="P3" s="952" t="s">
        <v>1029</v>
      </c>
      <c r="Q3" s="952"/>
      <c r="R3" s="952" t="s">
        <v>1027</v>
      </c>
      <c r="S3" s="952"/>
      <c r="T3" s="952"/>
      <c r="U3" s="954"/>
      <c r="V3" s="954"/>
      <c r="W3" s="952" t="s">
        <v>651</v>
      </c>
      <c r="X3" s="952"/>
      <c r="Y3" s="954"/>
      <c r="Z3" s="954"/>
      <c r="AA3" s="952" t="s">
        <v>1028</v>
      </c>
      <c r="AB3" s="956"/>
      <c r="AC3" s="302"/>
      <c r="AD3" s="302"/>
      <c r="AE3" s="302"/>
      <c r="AF3" s="302"/>
      <c r="AG3" s="302"/>
      <c r="AH3" s="302"/>
    </row>
    <row r="4" spans="1:34">
      <c r="A4" s="959"/>
      <c r="B4" s="953"/>
      <c r="C4" s="953"/>
      <c r="D4" s="957"/>
      <c r="E4" s="959"/>
      <c r="F4" s="953"/>
      <c r="G4" s="953"/>
      <c r="H4" s="955"/>
      <c r="I4" s="955"/>
      <c r="J4" s="953"/>
      <c r="K4" s="953"/>
      <c r="L4" s="955"/>
      <c r="M4" s="955"/>
      <c r="N4" s="953"/>
      <c r="O4" s="953"/>
      <c r="P4" s="953"/>
      <c r="Q4" s="953"/>
      <c r="R4" s="953"/>
      <c r="S4" s="953"/>
      <c r="T4" s="953"/>
      <c r="U4" s="955"/>
      <c r="V4" s="955"/>
      <c r="W4" s="953"/>
      <c r="X4" s="953"/>
      <c r="Y4" s="955"/>
      <c r="Z4" s="955"/>
      <c r="AA4" s="953"/>
      <c r="AB4" s="957"/>
      <c r="AC4" s="302"/>
      <c r="AD4" s="302"/>
      <c r="AE4" s="302"/>
      <c r="AF4" s="302"/>
      <c r="AG4" s="302"/>
      <c r="AH4" s="302"/>
    </row>
    <row r="5" spans="1:34">
      <c r="A5" s="987" t="s">
        <v>570</v>
      </c>
      <c r="B5" s="987"/>
      <c r="C5" s="987"/>
      <c r="D5" s="98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</row>
    <row r="6" spans="1:34">
      <c r="A6" s="987"/>
      <c r="B6" s="987"/>
      <c r="C6" s="987"/>
      <c r="D6" s="987"/>
      <c r="E6" s="1007"/>
      <c r="F6" s="1007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1007"/>
      <c r="T6" s="1007"/>
      <c r="U6" s="1007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</row>
    <row r="7" spans="1:34" ht="13.5" customHeight="1">
      <c r="A7" s="1008" t="s">
        <v>571</v>
      </c>
      <c r="B7" s="1009"/>
      <c r="C7" s="1009"/>
      <c r="D7" s="1010"/>
      <c r="E7" s="1014" t="s">
        <v>572</v>
      </c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5"/>
      <c r="AG7" s="1015"/>
      <c r="AH7" s="1016"/>
    </row>
    <row r="8" spans="1:34" ht="21" customHeight="1">
      <c r="A8" s="1008"/>
      <c r="B8" s="1009"/>
      <c r="C8" s="1009"/>
      <c r="D8" s="1010"/>
      <c r="E8" s="980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1"/>
      <c r="Z8" s="981"/>
      <c r="AA8" s="981"/>
      <c r="AB8" s="981"/>
      <c r="AC8" s="981"/>
      <c r="AD8" s="981"/>
      <c r="AE8" s="981"/>
      <c r="AF8" s="981"/>
      <c r="AG8" s="981"/>
      <c r="AH8" s="982"/>
    </row>
    <row r="9" spans="1:34" ht="21" customHeight="1">
      <c r="A9" s="1008"/>
      <c r="B9" s="1009"/>
      <c r="C9" s="1009"/>
      <c r="D9" s="1010"/>
      <c r="E9" s="980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1"/>
      <c r="Z9" s="981"/>
      <c r="AA9" s="981"/>
      <c r="AB9" s="981"/>
      <c r="AC9" s="981"/>
      <c r="AD9" s="981"/>
      <c r="AE9" s="981"/>
      <c r="AF9" s="981"/>
      <c r="AG9" s="981"/>
      <c r="AH9" s="982"/>
    </row>
    <row r="10" spans="1:34" ht="21" customHeight="1">
      <c r="A10" s="1008"/>
      <c r="B10" s="1009"/>
      <c r="C10" s="1009"/>
      <c r="D10" s="1010"/>
      <c r="E10" s="980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1"/>
      <c r="Z10" s="981"/>
      <c r="AA10" s="981"/>
      <c r="AB10" s="981"/>
      <c r="AC10" s="981"/>
      <c r="AD10" s="981"/>
      <c r="AE10" s="981"/>
      <c r="AF10" s="981"/>
      <c r="AG10" s="981"/>
      <c r="AH10" s="982"/>
    </row>
    <row r="11" spans="1:34" ht="21" customHeight="1">
      <c r="A11" s="1008"/>
      <c r="B11" s="1009"/>
      <c r="C11" s="1009"/>
      <c r="D11" s="1010"/>
      <c r="E11" s="980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1"/>
      <c r="Z11" s="981"/>
      <c r="AA11" s="981"/>
      <c r="AB11" s="981"/>
      <c r="AC11" s="981"/>
      <c r="AD11" s="981"/>
      <c r="AE11" s="981"/>
      <c r="AF11" s="981"/>
      <c r="AG11" s="981"/>
      <c r="AH11" s="982"/>
    </row>
    <row r="12" spans="1:34" ht="21" customHeight="1">
      <c r="A12" s="1008"/>
      <c r="B12" s="1009"/>
      <c r="C12" s="1009"/>
      <c r="D12" s="1010"/>
      <c r="E12" s="983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5"/>
    </row>
    <row r="13" spans="1:34" ht="20.25" customHeight="1">
      <c r="A13" s="1008"/>
      <c r="B13" s="1009"/>
      <c r="C13" s="1009"/>
      <c r="D13" s="1010"/>
      <c r="E13" s="987" t="s">
        <v>573</v>
      </c>
      <c r="F13" s="987"/>
      <c r="G13" s="987"/>
      <c r="H13" s="987"/>
      <c r="I13" s="987"/>
      <c r="J13" s="987"/>
      <c r="K13" s="987"/>
      <c r="L13" s="987"/>
      <c r="M13" s="987"/>
      <c r="N13" s="987"/>
      <c r="O13" s="987"/>
      <c r="P13" s="987"/>
      <c r="Q13" s="987"/>
      <c r="R13" s="987"/>
      <c r="S13" s="987"/>
      <c r="T13" s="987" t="s">
        <v>574</v>
      </c>
      <c r="U13" s="987"/>
      <c r="V13" s="987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</row>
    <row r="14" spans="1:34" ht="21.75" customHeight="1">
      <c r="A14" s="1008"/>
      <c r="B14" s="1009"/>
      <c r="C14" s="1009"/>
      <c r="D14" s="1010"/>
      <c r="E14" s="977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8"/>
      <c r="S14" s="979"/>
      <c r="T14" s="977"/>
      <c r="U14" s="978"/>
      <c r="V14" s="978"/>
      <c r="W14" s="978"/>
      <c r="X14" s="978"/>
      <c r="Y14" s="978"/>
      <c r="Z14" s="978"/>
      <c r="AA14" s="978"/>
      <c r="AB14" s="978"/>
      <c r="AC14" s="978"/>
      <c r="AD14" s="978"/>
      <c r="AE14" s="978"/>
      <c r="AF14" s="978"/>
      <c r="AG14" s="978"/>
      <c r="AH14" s="979"/>
    </row>
    <row r="15" spans="1:34" ht="21.75" customHeight="1">
      <c r="A15" s="1008"/>
      <c r="B15" s="1009"/>
      <c r="C15" s="1009"/>
      <c r="D15" s="1010"/>
      <c r="E15" s="980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2"/>
      <c r="T15" s="980"/>
      <c r="U15" s="981"/>
      <c r="V15" s="981"/>
      <c r="W15" s="981"/>
      <c r="X15" s="981"/>
      <c r="Y15" s="981"/>
      <c r="Z15" s="981"/>
      <c r="AA15" s="981"/>
      <c r="AB15" s="981"/>
      <c r="AC15" s="981"/>
      <c r="AD15" s="981"/>
      <c r="AE15" s="981"/>
      <c r="AF15" s="981"/>
      <c r="AG15" s="981"/>
      <c r="AH15" s="982"/>
    </row>
    <row r="16" spans="1:34" ht="21.75" customHeight="1">
      <c r="A16" s="1008"/>
      <c r="B16" s="1009"/>
      <c r="C16" s="1009"/>
      <c r="D16" s="1010"/>
      <c r="E16" s="980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2"/>
      <c r="T16" s="980"/>
      <c r="U16" s="981"/>
      <c r="V16" s="981"/>
      <c r="W16" s="981"/>
      <c r="X16" s="981"/>
      <c r="Y16" s="981"/>
      <c r="Z16" s="981"/>
      <c r="AA16" s="981"/>
      <c r="AB16" s="981"/>
      <c r="AC16" s="981"/>
      <c r="AD16" s="981"/>
      <c r="AE16" s="981"/>
      <c r="AF16" s="981"/>
      <c r="AG16" s="981"/>
      <c r="AH16" s="982"/>
    </row>
    <row r="17" spans="1:34" ht="21.75" customHeight="1">
      <c r="A17" s="1008"/>
      <c r="B17" s="1009"/>
      <c r="C17" s="1009"/>
      <c r="D17" s="1010"/>
      <c r="E17" s="980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82"/>
      <c r="T17" s="980"/>
      <c r="U17" s="981"/>
      <c r="V17" s="981"/>
      <c r="W17" s="981"/>
      <c r="X17" s="981"/>
      <c r="Y17" s="981"/>
      <c r="Z17" s="981"/>
      <c r="AA17" s="981"/>
      <c r="AB17" s="981"/>
      <c r="AC17" s="981"/>
      <c r="AD17" s="981"/>
      <c r="AE17" s="981"/>
      <c r="AF17" s="981"/>
      <c r="AG17" s="981"/>
      <c r="AH17" s="982"/>
    </row>
    <row r="18" spans="1:34" ht="21.75" customHeight="1">
      <c r="A18" s="1008"/>
      <c r="B18" s="1009"/>
      <c r="C18" s="1009"/>
      <c r="D18" s="1010"/>
      <c r="E18" s="980"/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2"/>
      <c r="T18" s="980"/>
      <c r="U18" s="981"/>
      <c r="V18" s="981"/>
      <c r="W18" s="981"/>
      <c r="X18" s="981"/>
      <c r="Y18" s="981"/>
      <c r="Z18" s="981"/>
      <c r="AA18" s="981"/>
      <c r="AB18" s="981"/>
      <c r="AC18" s="981"/>
      <c r="AD18" s="981"/>
      <c r="AE18" s="981"/>
      <c r="AF18" s="981"/>
      <c r="AG18" s="981"/>
      <c r="AH18" s="982"/>
    </row>
    <row r="19" spans="1:34" ht="21.75" customHeight="1">
      <c r="A19" s="1008"/>
      <c r="B19" s="1009"/>
      <c r="C19" s="1009"/>
      <c r="D19" s="1010"/>
      <c r="E19" s="980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981"/>
      <c r="R19" s="981"/>
      <c r="S19" s="982"/>
      <c r="T19" s="980"/>
      <c r="U19" s="981"/>
      <c r="V19" s="981"/>
      <c r="W19" s="981"/>
      <c r="X19" s="981"/>
      <c r="Y19" s="981"/>
      <c r="Z19" s="981"/>
      <c r="AA19" s="981"/>
      <c r="AB19" s="981"/>
      <c r="AC19" s="981"/>
      <c r="AD19" s="981"/>
      <c r="AE19" s="981"/>
      <c r="AF19" s="981"/>
      <c r="AG19" s="981"/>
      <c r="AH19" s="982"/>
    </row>
    <row r="20" spans="1:34" ht="21.75" customHeight="1">
      <c r="A20" s="1008"/>
      <c r="B20" s="1009"/>
      <c r="C20" s="1009"/>
      <c r="D20" s="1010"/>
      <c r="E20" s="980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2"/>
      <c r="T20" s="980"/>
      <c r="U20" s="981"/>
      <c r="V20" s="981"/>
      <c r="W20" s="981"/>
      <c r="X20" s="981"/>
      <c r="Y20" s="981"/>
      <c r="Z20" s="981"/>
      <c r="AA20" s="981"/>
      <c r="AB20" s="981"/>
      <c r="AC20" s="981"/>
      <c r="AD20" s="981"/>
      <c r="AE20" s="981"/>
      <c r="AF20" s="981"/>
      <c r="AG20" s="981"/>
      <c r="AH20" s="982"/>
    </row>
    <row r="21" spans="1:34" ht="21.75" customHeight="1">
      <c r="A21" s="1008"/>
      <c r="B21" s="1009"/>
      <c r="C21" s="1009"/>
      <c r="D21" s="1010"/>
      <c r="E21" s="980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2"/>
      <c r="T21" s="980"/>
      <c r="U21" s="981"/>
      <c r="V21" s="981"/>
      <c r="W21" s="981"/>
      <c r="X21" s="981"/>
      <c r="Y21" s="981"/>
      <c r="Z21" s="981"/>
      <c r="AA21" s="981"/>
      <c r="AB21" s="981"/>
      <c r="AC21" s="981"/>
      <c r="AD21" s="981"/>
      <c r="AE21" s="981"/>
      <c r="AF21" s="981"/>
      <c r="AG21" s="981"/>
      <c r="AH21" s="982"/>
    </row>
    <row r="22" spans="1:34" ht="21.75" customHeight="1">
      <c r="A22" s="1008"/>
      <c r="B22" s="1009"/>
      <c r="C22" s="1009"/>
      <c r="D22" s="1010"/>
      <c r="E22" s="980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2"/>
      <c r="T22" s="980"/>
      <c r="U22" s="981"/>
      <c r="V22" s="981"/>
      <c r="W22" s="981"/>
      <c r="X22" s="981"/>
      <c r="Y22" s="981"/>
      <c r="Z22" s="981"/>
      <c r="AA22" s="981"/>
      <c r="AB22" s="981"/>
      <c r="AC22" s="981"/>
      <c r="AD22" s="981"/>
      <c r="AE22" s="981"/>
      <c r="AF22" s="981"/>
      <c r="AG22" s="981"/>
      <c r="AH22" s="982"/>
    </row>
    <row r="23" spans="1:34" ht="21.75" customHeight="1">
      <c r="A23" s="1008"/>
      <c r="B23" s="1009"/>
      <c r="C23" s="1009"/>
      <c r="D23" s="1010"/>
      <c r="E23" s="980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982"/>
      <c r="T23" s="980"/>
      <c r="U23" s="981"/>
      <c r="V23" s="981"/>
      <c r="W23" s="981"/>
      <c r="X23" s="981"/>
      <c r="Y23" s="981"/>
      <c r="Z23" s="981"/>
      <c r="AA23" s="981"/>
      <c r="AB23" s="981"/>
      <c r="AC23" s="981"/>
      <c r="AD23" s="981"/>
      <c r="AE23" s="981"/>
      <c r="AF23" s="981"/>
      <c r="AG23" s="981"/>
      <c r="AH23" s="982"/>
    </row>
    <row r="24" spans="1:34" ht="21.75" customHeight="1">
      <c r="A24" s="1008"/>
      <c r="B24" s="1009"/>
      <c r="C24" s="1009"/>
      <c r="D24" s="1010"/>
      <c r="E24" s="980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2"/>
      <c r="T24" s="980"/>
      <c r="U24" s="981"/>
      <c r="V24" s="981"/>
      <c r="W24" s="981"/>
      <c r="X24" s="981"/>
      <c r="Y24" s="981"/>
      <c r="Z24" s="981"/>
      <c r="AA24" s="981"/>
      <c r="AB24" s="981"/>
      <c r="AC24" s="981"/>
      <c r="AD24" s="981"/>
      <c r="AE24" s="981"/>
      <c r="AF24" s="981"/>
      <c r="AG24" s="981"/>
      <c r="AH24" s="982"/>
    </row>
    <row r="25" spans="1:34" ht="21.75" customHeight="1">
      <c r="A25" s="1008"/>
      <c r="B25" s="1009"/>
      <c r="C25" s="1009"/>
      <c r="D25" s="1010"/>
      <c r="E25" s="983"/>
      <c r="F25" s="984"/>
      <c r="G25" s="984"/>
      <c r="H25" s="984"/>
      <c r="I25" s="984"/>
      <c r="J25" s="984"/>
      <c r="K25" s="984"/>
      <c r="L25" s="984"/>
      <c r="M25" s="984"/>
      <c r="N25" s="984"/>
      <c r="O25" s="984"/>
      <c r="P25" s="984"/>
      <c r="Q25" s="984"/>
      <c r="R25" s="984"/>
      <c r="S25" s="985"/>
      <c r="T25" s="983"/>
      <c r="U25" s="984"/>
      <c r="V25" s="984"/>
      <c r="W25" s="984"/>
      <c r="X25" s="984"/>
      <c r="Y25" s="984"/>
      <c r="Z25" s="984"/>
      <c r="AA25" s="984"/>
      <c r="AB25" s="984"/>
      <c r="AC25" s="984"/>
      <c r="AD25" s="984"/>
      <c r="AE25" s="984"/>
      <c r="AF25" s="984"/>
      <c r="AG25" s="984"/>
      <c r="AH25" s="985"/>
    </row>
    <row r="26" spans="1:34" ht="20.25" customHeight="1">
      <c r="A26" s="1008"/>
      <c r="B26" s="1009"/>
      <c r="C26" s="1009"/>
      <c r="D26" s="1010"/>
      <c r="E26" s="993" t="s">
        <v>647</v>
      </c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5"/>
    </row>
    <row r="27" spans="1:34">
      <c r="A27" s="1008"/>
      <c r="B27" s="1009"/>
      <c r="C27" s="1009"/>
      <c r="D27" s="1010"/>
      <c r="E27" s="986" t="s">
        <v>660</v>
      </c>
      <c r="F27" s="986"/>
      <c r="G27" s="986" t="s">
        <v>659</v>
      </c>
      <c r="H27" s="986"/>
      <c r="I27" s="986"/>
      <c r="J27" s="986"/>
      <c r="K27" s="986"/>
      <c r="L27" s="986"/>
      <c r="M27" s="986"/>
      <c r="N27" s="986"/>
      <c r="O27" s="986"/>
      <c r="P27" s="986"/>
      <c r="Q27" s="986" t="s">
        <v>652</v>
      </c>
      <c r="R27" s="986"/>
      <c r="S27" s="986"/>
      <c r="T27" s="986"/>
      <c r="U27" s="986"/>
      <c r="V27" s="986"/>
      <c r="W27" s="986" t="s">
        <v>654</v>
      </c>
      <c r="X27" s="986"/>
      <c r="Y27" s="986"/>
      <c r="Z27" s="986"/>
      <c r="AA27" s="986"/>
      <c r="AB27" s="986"/>
      <c r="AC27" s="986"/>
      <c r="AD27" s="986" t="s">
        <v>653</v>
      </c>
      <c r="AE27" s="986"/>
      <c r="AF27" s="986"/>
      <c r="AG27" s="986"/>
      <c r="AH27" s="986"/>
    </row>
    <row r="28" spans="1:34">
      <c r="A28" s="1008"/>
      <c r="B28" s="1009"/>
      <c r="C28" s="1009"/>
      <c r="D28" s="1010"/>
      <c r="E28" s="996"/>
      <c r="F28" s="996"/>
      <c r="G28" s="997" t="s">
        <v>648</v>
      </c>
      <c r="H28" s="997"/>
      <c r="I28" s="997"/>
      <c r="J28" s="997"/>
      <c r="K28" s="997"/>
      <c r="L28" s="997"/>
      <c r="M28" s="997"/>
      <c r="N28" s="997"/>
      <c r="O28" s="997"/>
      <c r="P28" s="997"/>
      <c r="Q28" s="971"/>
      <c r="R28" s="972"/>
      <c r="S28" s="972"/>
      <c r="T28" s="972"/>
      <c r="U28" s="972"/>
      <c r="V28" s="973"/>
      <c r="W28" s="998" t="s">
        <v>658</v>
      </c>
      <c r="X28" s="998"/>
      <c r="Y28" s="998"/>
      <c r="Z28" s="998"/>
      <c r="AA28" s="998"/>
      <c r="AB28" s="998"/>
      <c r="AC28" s="998"/>
      <c r="AD28" s="971"/>
      <c r="AE28" s="972"/>
      <c r="AF28" s="972"/>
      <c r="AG28" s="972"/>
      <c r="AH28" s="973"/>
    </row>
    <row r="29" spans="1:34">
      <c r="A29" s="1008"/>
      <c r="B29" s="1009"/>
      <c r="C29" s="1009"/>
      <c r="D29" s="1010"/>
      <c r="E29" s="996"/>
      <c r="F29" s="996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74"/>
      <c r="R29" s="975"/>
      <c r="S29" s="975"/>
      <c r="T29" s="975"/>
      <c r="U29" s="975"/>
      <c r="V29" s="976"/>
      <c r="W29" s="998"/>
      <c r="X29" s="998"/>
      <c r="Y29" s="998"/>
      <c r="Z29" s="998"/>
      <c r="AA29" s="998"/>
      <c r="AB29" s="998"/>
      <c r="AC29" s="998"/>
      <c r="AD29" s="974"/>
      <c r="AE29" s="975"/>
      <c r="AF29" s="975"/>
      <c r="AG29" s="975"/>
      <c r="AH29" s="976"/>
    </row>
    <row r="30" spans="1:34" ht="13.5" customHeight="1">
      <c r="A30" s="1008"/>
      <c r="B30" s="1009"/>
      <c r="C30" s="1009"/>
      <c r="D30" s="1010"/>
      <c r="E30" s="996"/>
      <c r="F30" s="996"/>
      <c r="G30" s="997" t="s">
        <v>649</v>
      </c>
      <c r="H30" s="997"/>
      <c r="I30" s="997"/>
      <c r="J30" s="997"/>
      <c r="K30" s="997"/>
      <c r="L30" s="997"/>
      <c r="M30" s="997"/>
      <c r="N30" s="997"/>
      <c r="O30" s="997"/>
      <c r="P30" s="997"/>
      <c r="Q30" s="971"/>
      <c r="R30" s="972"/>
      <c r="S30" s="972"/>
      <c r="T30" s="972"/>
      <c r="U30" s="972"/>
      <c r="V30" s="973"/>
      <c r="W30" s="998" t="s">
        <v>658</v>
      </c>
      <c r="X30" s="998"/>
      <c r="Y30" s="998"/>
      <c r="Z30" s="998"/>
      <c r="AA30" s="998"/>
      <c r="AB30" s="998"/>
      <c r="AC30" s="998"/>
      <c r="AD30" s="971"/>
      <c r="AE30" s="972"/>
      <c r="AF30" s="972"/>
      <c r="AG30" s="972"/>
      <c r="AH30" s="973"/>
    </row>
    <row r="31" spans="1:34" ht="13.5" customHeight="1">
      <c r="A31" s="1008"/>
      <c r="B31" s="1009"/>
      <c r="C31" s="1009"/>
      <c r="D31" s="1010"/>
      <c r="E31" s="996"/>
      <c r="F31" s="996"/>
      <c r="G31" s="997"/>
      <c r="H31" s="997"/>
      <c r="I31" s="997"/>
      <c r="J31" s="997"/>
      <c r="K31" s="997"/>
      <c r="L31" s="997"/>
      <c r="M31" s="997"/>
      <c r="N31" s="997"/>
      <c r="O31" s="997"/>
      <c r="P31" s="997"/>
      <c r="Q31" s="974"/>
      <c r="R31" s="975"/>
      <c r="S31" s="975"/>
      <c r="T31" s="975"/>
      <c r="U31" s="975"/>
      <c r="V31" s="976"/>
      <c r="W31" s="998"/>
      <c r="X31" s="998"/>
      <c r="Y31" s="998"/>
      <c r="Z31" s="998"/>
      <c r="AA31" s="998"/>
      <c r="AB31" s="998"/>
      <c r="AC31" s="998"/>
      <c r="AD31" s="974"/>
      <c r="AE31" s="975"/>
      <c r="AF31" s="975"/>
      <c r="AG31" s="975"/>
      <c r="AH31" s="976"/>
    </row>
    <row r="32" spans="1:34" ht="13.5" customHeight="1">
      <c r="A32" s="1008"/>
      <c r="B32" s="1009"/>
      <c r="C32" s="1009"/>
      <c r="D32" s="1010"/>
      <c r="E32" s="996"/>
      <c r="F32" s="996"/>
      <c r="G32" s="997" t="s">
        <v>650</v>
      </c>
      <c r="H32" s="997"/>
      <c r="I32" s="997"/>
      <c r="J32" s="997"/>
      <c r="K32" s="997"/>
      <c r="L32" s="997"/>
      <c r="M32" s="997"/>
      <c r="N32" s="997"/>
      <c r="O32" s="997"/>
      <c r="P32" s="997"/>
      <c r="Q32" s="971"/>
      <c r="R32" s="972"/>
      <c r="S32" s="972"/>
      <c r="T32" s="972"/>
      <c r="U32" s="972"/>
      <c r="V32" s="973"/>
      <c r="W32" s="998" t="s">
        <v>658</v>
      </c>
      <c r="X32" s="998"/>
      <c r="Y32" s="998"/>
      <c r="Z32" s="998"/>
      <c r="AA32" s="998"/>
      <c r="AB32" s="998"/>
      <c r="AC32" s="998"/>
      <c r="AD32" s="971"/>
      <c r="AE32" s="972"/>
      <c r="AF32" s="972"/>
      <c r="AG32" s="972"/>
      <c r="AH32" s="973"/>
    </row>
    <row r="33" spans="1:35" ht="13.5" customHeight="1">
      <c r="A33" s="1008"/>
      <c r="B33" s="1009"/>
      <c r="C33" s="1009"/>
      <c r="D33" s="1010"/>
      <c r="E33" s="996"/>
      <c r="F33" s="996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74"/>
      <c r="R33" s="975"/>
      <c r="S33" s="975"/>
      <c r="T33" s="975"/>
      <c r="U33" s="975"/>
      <c r="V33" s="976"/>
      <c r="W33" s="998"/>
      <c r="X33" s="998"/>
      <c r="Y33" s="998"/>
      <c r="Z33" s="998"/>
      <c r="AA33" s="998"/>
      <c r="AB33" s="998"/>
      <c r="AC33" s="998"/>
      <c r="AD33" s="974"/>
      <c r="AE33" s="975"/>
      <c r="AF33" s="975"/>
      <c r="AG33" s="975"/>
      <c r="AH33" s="976"/>
    </row>
    <row r="34" spans="1:35" ht="13.5" customHeight="1">
      <c r="A34" s="1008"/>
      <c r="B34" s="1009"/>
      <c r="C34" s="1009"/>
      <c r="D34" s="1010"/>
      <c r="E34" s="996"/>
      <c r="F34" s="996"/>
      <c r="G34" s="997" t="s">
        <v>1024</v>
      </c>
      <c r="H34" s="997"/>
      <c r="I34" s="997"/>
      <c r="J34" s="997"/>
      <c r="K34" s="997"/>
      <c r="L34" s="997"/>
      <c r="M34" s="997"/>
      <c r="N34" s="997"/>
      <c r="O34" s="997"/>
      <c r="P34" s="997"/>
      <c r="Q34" s="971"/>
      <c r="R34" s="972"/>
      <c r="S34" s="972"/>
      <c r="T34" s="972"/>
      <c r="U34" s="972"/>
      <c r="V34" s="973"/>
      <c r="W34" s="998" t="s">
        <v>658</v>
      </c>
      <c r="X34" s="998"/>
      <c r="Y34" s="998"/>
      <c r="Z34" s="998"/>
      <c r="AA34" s="998"/>
      <c r="AB34" s="998"/>
      <c r="AC34" s="998"/>
      <c r="AD34" s="971"/>
      <c r="AE34" s="972"/>
      <c r="AF34" s="972"/>
      <c r="AG34" s="972"/>
      <c r="AH34" s="973"/>
    </row>
    <row r="35" spans="1:35" ht="13.5" customHeight="1">
      <c r="A35" s="1008"/>
      <c r="B35" s="1009"/>
      <c r="C35" s="1009"/>
      <c r="D35" s="1010"/>
      <c r="E35" s="996"/>
      <c r="F35" s="996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74"/>
      <c r="R35" s="975"/>
      <c r="S35" s="975"/>
      <c r="T35" s="975"/>
      <c r="U35" s="975"/>
      <c r="V35" s="976"/>
      <c r="W35" s="998"/>
      <c r="X35" s="998"/>
      <c r="Y35" s="998"/>
      <c r="Z35" s="998"/>
      <c r="AA35" s="998"/>
      <c r="AB35" s="998"/>
      <c r="AC35" s="998"/>
      <c r="AD35" s="974"/>
      <c r="AE35" s="975"/>
      <c r="AF35" s="975"/>
      <c r="AG35" s="975"/>
      <c r="AH35" s="976"/>
    </row>
    <row r="36" spans="1:35" ht="20.25" customHeight="1">
      <c r="A36" s="1008"/>
      <c r="B36" s="1009"/>
      <c r="C36" s="1009"/>
      <c r="D36" s="1010"/>
      <c r="E36" s="1002" t="s">
        <v>966</v>
      </c>
      <c r="F36" s="994"/>
      <c r="G36" s="994"/>
      <c r="H36" s="994"/>
      <c r="I36" s="994"/>
      <c r="J36" s="994"/>
      <c r="K36" s="994"/>
      <c r="L36" s="994"/>
      <c r="M36" s="994"/>
      <c r="N36" s="994"/>
      <c r="O36" s="994"/>
      <c r="P36" s="994"/>
      <c r="Q36" s="994"/>
      <c r="R36" s="994"/>
      <c r="S36" s="994"/>
      <c r="T36" s="994"/>
      <c r="U36" s="994"/>
      <c r="V36" s="995"/>
      <c r="W36" s="968" t="s">
        <v>962</v>
      </c>
      <c r="X36" s="969"/>
      <c r="Y36" s="969"/>
      <c r="Z36" s="969"/>
      <c r="AA36" s="970"/>
      <c r="AB36" s="1001"/>
      <c r="AC36" s="1001"/>
      <c r="AD36" s="1001"/>
      <c r="AE36" s="1001"/>
      <c r="AF36" s="1001"/>
      <c r="AG36" s="994" t="s">
        <v>651</v>
      </c>
      <c r="AH36" s="995"/>
    </row>
    <row r="37" spans="1:35" ht="20.25" customHeight="1">
      <c r="A37" s="1008"/>
      <c r="B37" s="1009"/>
      <c r="C37" s="1009"/>
      <c r="D37" s="1010"/>
      <c r="E37" s="1003"/>
      <c r="F37" s="999"/>
      <c r="G37" s="999"/>
      <c r="H37" s="999"/>
      <c r="I37" s="999"/>
      <c r="J37" s="999"/>
      <c r="K37" s="999"/>
      <c r="L37" s="999"/>
      <c r="M37" s="999"/>
      <c r="N37" s="999"/>
      <c r="O37" s="999"/>
      <c r="P37" s="999"/>
      <c r="Q37" s="999"/>
      <c r="R37" s="999"/>
      <c r="S37" s="999"/>
      <c r="T37" s="999"/>
      <c r="U37" s="999"/>
      <c r="V37" s="1000"/>
      <c r="W37" s="968" t="s">
        <v>963</v>
      </c>
      <c r="X37" s="969"/>
      <c r="Y37" s="969"/>
      <c r="Z37" s="969"/>
      <c r="AA37" s="970"/>
      <c r="AB37" s="962"/>
      <c r="AC37" s="963"/>
      <c r="AD37" s="963"/>
      <c r="AE37" s="963"/>
      <c r="AF37" s="964"/>
      <c r="AG37" s="999"/>
      <c r="AH37" s="1000"/>
    </row>
    <row r="38" spans="1:35" ht="20.25" customHeight="1">
      <c r="A38" s="1008"/>
      <c r="B38" s="1009"/>
      <c r="C38" s="1009"/>
      <c r="D38" s="1010"/>
      <c r="E38" s="1004"/>
      <c r="F38" s="1005"/>
      <c r="G38" s="1005"/>
      <c r="H38" s="1005"/>
      <c r="I38" s="1005"/>
      <c r="J38" s="1005"/>
      <c r="K38" s="1005"/>
      <c r="L38" s="1005"/>
      <c r="M38" s="1005"/>
      <c r="N38" s="1005"/>
      <c r="O38" s="1005"/>
      <c r="P38" s="1005"/>
      <c r="Q38" s="1005"/>
      <c r="R38" s="1005"/>
      <c r="S38" s="1005"/>
      <c r="T38" s="1005"/>
      <c r="U38" s="1005"/>
      <c r="V38" s="1006"/>
      <c r="W38" s="968" t="s">
        <v>964</v>
      </c>
      <c r="X38" s="969"/>
      <c r="Y38" s="969"/>
      <c r="Z38" s="969"/>
      <c r="AA38" s="970"/>
      <c r="AB38" s="965"/>
      <c r="AC38" s="966"/>
      <c r="AD38" s="966"/>
      <c r="AE38" s="966"/>
      <c r="AF38" s="967"/>
      <c r="AG38" s="999"/>
      <c r="AH38" s="1000"/>
    </row>
    <row r="39" spans="1:35" ht="21" customHeight="1">
      <c r="A39" s="1008"/>
      <c r="B39" s="1009"/>
      <c r="C39" s="1009"/>
      <c r="D39" s="1010"/>
      <c r="E39" s="987" t="s">
        <v>575</v>
      </c>
      <c r="F39" s="987"/>
      <c r="G39" s="987"/>
      <c r="H39" s="987"/>
      <c r="I39" s="987"/>
      <c r="J39" s="987"/>
      <c r="K39" s="987"/>
      <c r="L39" s="987"/>
      <c r="M39" s="987"/>
      <c r="N39" s="987"/>
      <c r="O39" s="987" t="s">
        <v>576</v>
      </c>
      <c r="P39" s="987"/>
      <c r="Q39" s="987"/>
      <c r="R39" s="987"/>
      <c r="S39" s="987"/>
      <c r="T39" s="987"/>
      <c r="U39" s="987"/>
      <c r="V39" s="987"/>
      <c r="W39" s="987"/>
      <c r="X39" s="987"/>
      <c r="Y39" s="987" t="s">
        <v>577</v>
      </c>
      <c r="Z39" s="987"/>
      <c r="AA39" s="987"/>
      <c r="AB39" s="987"/>
      <c r="AC39" s="987"/>
      <c r="AD39" s="987"/>
      <c r="AE39" s="987"/>
      <c r="AF39" s="987"/>
      <c r="AG39" s="987"/>
      <c r="AH39" s="987"/>
    </row>
    <row r="40" spans="1:35" ht="27.75" customHeight="1">
      <c r="A40" s="1011"/>
      <c r="B40" s="1012"/>
      <c r="C40" s="1012"/>
      <c r="D40" s="1013"/>
      <c r="E40" s="960" t="e">
        <f>結果!L9</f>
        <v>#N/A</v>
      </c>
      <c r="F40" s="960"/>
      <c r="G40" s="960"/>
      <c r="H40" s="960"/>
      <c r="I40" s="960"/>
      <c r="J40" s="961"/>
      <c r="K40" s="970" t="s">
        <v>578</v>
      </c>
      <c r="L40" s="987"/>
      <c r="M40" s="987"/>
      <c r="N40" s="987"/>
      <c r="O40" s="960" t="e">
        <f>結果!L10</f>
        <v>#N/A</v>
      </c>
      <c r="P40" s="960"/>
      <c r="Q40" s="960"/>
      <c r="R40" s="960"/>
      <c r="S40" s="960"/>
      <c r="T40" s="961"/>
      <c r="U40" s="970" t="s">
        <v>578</v>
      </c>
      <c r="V40" s="987"/>
      <c r="W40" s="987"/>
      <c r="X40" s="987"/>
      <c r="Y40" s="960" t="e">
        <f>E40-O40</f>
        <v>#N/A</v>
      </c>
      <c r="Z40" s="960"/>
      <c r="AA40" s="960"/>
      <c r="AB40" s="960"/>
      <c r="AC40" s="960"/>
      <c r="AD40" s="961"/>
      <c r="AE40" s="970" t="s">
        <v>578</v>
      </c>
      <c r="AF40" s="987"/>
      <c r="AG40" s="987"/>
      <c r="AH40" s="987"/>
    </row>
    <row r="42" spans="1:35" ht="30.75" customHeight="1">
      <c r="A42" s="649"/>
      <c r="B42" s="649"/>
      <c r="C42" s="649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988" t="s">
        <v>972</v>
      </c>
      <c r="P42" s="989"/>
      <c r="Q42" s="989"/>
      <c r="R42" s="989"/>
      <c r="S42" s="989"/>
      <c r="T42" s="989"/>
      <c r="U42" s="989"/>
      <c r="V42" s="989"/>
      <c r="W42" s="989"/>
      <c r="X42" s="990"/>
      <c r="Y42" s="960" t="e">
        <f>Y50</f>
        <v>#N/A</v>
      </c>
      <c r="Z42" s="960"/>
      <c r="AA42" s="960"/>
      <c r="AB42" s="960"/>
      <c r="AC42" s="960"/>
      <c r="AD42" s="961"/>
      <c r="AE42" s="970" t="s">
        <v>973</v>
      </c>
      <c r="AF42" s="987"/>
      <c r="AG42" s="987"/>
      <c r="AH42" s="987"/>
      <c r="AI42" s="649"/>
    </row>
    <row r="43" spans="1:35">
      <c r="A43" s="649"/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</row>
    <row r="44" spans="1:35" s="665" customFormat="1">
      <c r="A44" s="664"/>
      <c r="B44" s="664"/>
      <c r="C44" s="664"/>
      <c r="D44" s="664"/>
      <c r="E44" s="664"/>
      <c r="F44" s="664"/>
      <c r="G44" s="664"/>
      <c r="H44" s="664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4"/>
      <c r="Y44" s="664"/>
      <c r="Z44" s="664"/>
      <c r="AA44" s="664"/>
      <c r="AB44" s="664"/>
      <c r="AC44" s="664"/>
      <c r="AD44" s="664"/>
      <c r="AE44" s="664"/>
      <c r="AF44" s="664"/>
      <c r="AG44" s="664"/>
      <c r="AH44" s="664"/>
      <c r="AI44" s="664"/>
    </row>
    <row r="45" spans="1:35" ht="30" hidden="1" customHeight="1">
      <c r="A45" s="1017"/>
      <c r="B45" s="1017"/>
      <c r="C45" s="1017"/>
      <c r="D45" s="1017"/>
      <c r="E45" s="1017"/>
      <c r="F45" s="1017"/>
      <c r="G45" s="1017"/>
      <c r="H45" s="1017"/>
      <c r="I45" s="1017"/>
      <c r="J45" s="1018"/>
      <c r="K45" s="1018"/>
      <c r="L45" s="1018"/>
      <c r="M45" s="1017"/>
      <c r="N45" s="1017"/>
      <c r="O45" s="1017"/>
      <c r="P45" s="1017"/>
      <c r="Q45" s="1017"/>
      <c r="R45" s="992"/>
      <c r="S45" s="992"/>
      <c r="T45" s="992"/>
      <c r="U45" s="992"/>
      <c r="V45" s="650"/>
      <c r="W45" s="992"/>
      <c r="X45" s="992"/>
      <c r="Y45" s="650"/>
      <c r="Z45" s="650"/>
      <c r="AA45" s="992"/>
      <c r="AB45" s="992"/>
      <c r="AC45" s="992"/>
      <c r="AD45" s="992"/>
      <c r="AE45" s="650"/>
      <c r="AF45" s="992"/>
      <c r="AG45" s="992"/>
      <c r="AH45" s="650"/>
      <c r="AI45" s="649"/>
    </row>
    <row r="46" spans="1:35" s="649" customFormat="1" ht="15" hidden="1" customHeight="1">
      <c r="A46" s="651"/>
      <c r="B46" s="651"/>
      <c r="C46" s="651"/>
      <c r="D46" s="651"/>
      <c r="E46" s="987" t="s">
        <v>575</v>
      </c>
      <c r="F46" s="987"/>
      <c r="G46" s="987"/>
      <c r="H46" s="987"/>
      <c r="I46" s="987"/>
      <c r="J46" s="987"/>
      <c r="K46" s="987"/>
      <c r="L46" s="987"/>
      <c r="M46" s="987"/>
      <c r="N46" s="987"/>
      <c r="O46" s="987" t="s">
        <v>576</v>
      </c>
      <c r="P46" s="987"/>
      <c r="Q46" s="987"/>
      <c r="R46" s="987"/>
      <c r="S46" s="987"/>
      <c r="T46" s="987"/>
      <c r="U46" s="987"/>
      <c r="V46" s="987"/>
      <c r="W46" s="987"/>
      <c r="X46" s="987"/>
      <c r="Y46" s="987" t="s">
        <v>577</v>
      </c>
      <c r="Z46" s="987"/>
      <c r="AA46" s="987"/>
      <c r="AB46" s="987"/>
      <c r="AC46" s="987"/>
      <c r="AD46" s="987"/>
      <c r="AE46" s="987"/>
      <c r="AF46" s="987"/>
      <c r="AG46" s="987"/>
      <c r="AH46" s="987"/>
      <c r="AI46" s="649" t="s">
        <v>971</v>
      </c>
    </row>
    <row r="47" spans="1:35" s="649" customFormat="1" ht="21.75" hidden="1" customHeight="1">
      <c r="A47" s="651"/>
      <c r="B47" s="651"/>
      <c r="C47" s="651"/>
      <c r="D47" s="660" t="s">
        <v>962</v>
      </c>
      <c r="E47" s="960" t="e">
        <f>結果!$W$118</f>
        <v>#N/A</v>
      </c>
      <c r="F47" s="960"/>
      <c r="G47" s="960"/>
      <c r="H47" s="960"/>
      <c r="I47" s="960"/>
      <c r="J47" s="961"/>
      <c r="K47" s="970" t="s">
        <v>578</v>
      </c>
      <c r="L47" s="987"/>
      <c r="M47" s="987"/>
      <c r="N47" s="987"/>
      <c r="O47" s="960" t="e">
        <f>結果!$W$119</f>
        <v>#N/A</v>
      </c>
      <c r="P47" s="960"/>
      <c r="Q47" s="960"/>
      <c r="R47" s="960"/>
      <c r="S47" s="960"/>
      <c r="T47" s="961"/>
      <c r="U47" s="970" t="s">
        <v>578</v>
      </c>
      <c r="V47" s="987"/>
      <c r="W47" s="987"/>
      <c r="X47" s="987"/>
      <c r="Y47" s="960" t="e">
        <f>E47-O47</f>
        <v>#N/A</v>
      </c>
      <c r="Z47" s="960"/>
      <c r="AA47" s="960"/>
      <c r="AB47" s="960"/>
      <c r="AC47" s="960"/>
      <c r="AD47" s="961"/>
      <c r="AE47" s="970" t="s">
        <v>578</v>
      </c>
      <c r="AF47" s="987"/>
      <c r="AG47" s="987"/>
      <c r="AH47" s="987"/>
      <c r="AI47" s="663" t="e">
        <f>Y47*AB36</f>
        <v>#N/A</v>
      </c>
    </row>
    <row r="48" spans="1:35" ht="21.75" hidden="1" customHeight="1">
      <c r="A48" s="652"/>
      <c r="B48" s="652"/>
      <c r="C48" s="653"/>
      <c r="D48" s="661" t="s">
        <v>963</v>
      </c>
      <c r="E48" s="960" t="e">
        <f>結果!$X$118</f>
        <v>#N/A</v>
      </c>
      <c r="F48" s="960"/>
      <c r="G48" s="960"/>
      <c r="H48" s="960"/>
      <c r="I48" s="960"/>
      <c r="J48" s="961"/>
      <c r="K48" s="970" t="s">
        <v>578</v>
      </c>
      <c r="L48" s="987"/>
      <c r="M48" s="987"/>
      <c r="N48" s="987"/>
      <c r="O48" s="960" t="e">
        <f>結果!$X$119</f>
        <v>#N/A</v>
      </c>
      <c r="P48" s="960"/>
      <c r="Q48" s="960"/>
      <c r="R48" s="960"/>
      <c r="S48" s="960"/>
      <c r="T48" s="961"/>
      <c r="U48" s="970" t="s">
        <v>578</v>
      </c>
      <c r="V48" s="987"/>
      <c r="W48" s="987"/>
      <c r="X48" s="987"/>
      <c r="Y48" s="960" t="e">
        <f>E48-O48</f>
        <v>#N/A</v>
      </c>
      <c r="Z48" s="960"/>
      <c r="AA48" s="960"/>
      <c r="AB48" s="960"/>
      <c r="AC48" s="960"/>
      <c r="AD48" s="961"/>
      <c r="AE48" s="970" t="s">
        <v>578</v>
      </c>
      <c r="AF48" s="987"/>
      <c r="AG48" s="987"/>
      <c r="AH48" s="987"/>
      <c r="AI48" s="663" t="e">
        <f t="shared" ref="AI48:AI49" si="0">Y48*AB37</f>
        <v>#N/A</v>
      </c>
    </row>
    <row r="49" spans="4:38" ht="21.75" hidden="1" customHeight="1">
      <c r="D49" s="662" t="s">
        <v>964</v>
      </c>
      <c r="E49" s="960" t="e">
        <f>結果!$Y$118+結果!$Z$118</f>
        <v>#N/A</v>
      </c>
      <c r="F49" s="960"/>
      <c r="G49" s="960"/>
      <c r="H49" s="960"/>
      <c r="I49" s="960"/>
      <c r="J49" s="961"/>
      <c r="K49" s="970" t="s">
        <v>967</v>
      </c>
      <c r="L49" s="987"/>
      <c r="M49" s="987"/>
      <c r="N49" s="987"/>
      <c r="O49" s="960" t="e">
        <f>結果!$Y$119+結果!$Z$119</f>
        <v>#N/A</v>
      </c>
      <c r="P49" s="960"/>
      <c r="Q49" s="960"/>
      <c r="R49" s="960"/>
      <c r="S49" s="960"/>
      <c r="T49" s="961"/>
      <c r="U49" s="970" t="s">
        <v>967</v>
      </c>
      <c r="V49" s="987"/>
      <c r="W49" s="987"/>
      <c r="X49" s="987"/>
      <c r="Y49" s="960" t="e">
        <f>E49-O49</f>
        <v>#N/A</v>
      </c>
      <c r="Z49" s="960"/>
      <c r="AA49" s="960"/>
      <c r="AB49" s="960"/>
      <c r="AC49" s="960"/>
      <c r="AD49" s="961"/>
      <c r="AE49" s="970" t="s">
        <v>967</v>
      </c>
      <c r="AF49" s="987"/>
      <c r="AG49" s="987"/>
      <c r="AH49" s="987"/>
      <c r="AI49" s="663" t="e">
        <f t="shared" si="0"/>
        <v>#N/A</v>
      </c>
      <c r="AL49" s="648" t="s">
        <v>655</v>
      </c>
    </row>
    <row r="50" spans="4:38" ht="28.5" hidden="1" customHeight="1">
      <c r="X50" s="662" t="s">
        <v>974</v>
      </c>
      <c r="Y50" s="991" t="e">
        <f>_xlfn.AGGREGATE(9,,AI47:AI49)</f>
        <v>#N/A</v>
      </c>
      <c r="Z50" s="991"/>
      <c r="AA50" s="991"/>
      <c r="AB50" s="991"/>
      <c r="AC50" s="991"/>
      <c r="AD50" s="991"/>
      <c r="AE50" s="970" t="s">
        <v>973</v>
      </c>
      <c r="AF50" s="987"/>
      <c r="AG50" s="987"/>
      <c r="AH50" s="987"/>
      <c r="AL50" s="648" t="s">
        <v>656</v>
      </c>
    </row>
    <row r="51" spans="4:38" hidden="1">
      <c r="AL51" s="648" t="s">
        <v>657</v>
      </c>
    </row>
    <row r="52" spans="4:38" hidden="1"/>
    <row r="53" spans="4:38" hidden="1"/>
  </sheetData>
  <sheetProtection algorithmName="SHA-512" hashValue="+Y3DcaVMPeUf3Rl3n1nRWeX+4Bzs+FdfRgK2CQFD/I0iik2P0D+ghXl6QcmO02mPRmkfPDBYvdOrQUB06/qGZg==" saltValue="YEuUsZvYH+TnE+xrUmhFVg==" spinCount="100000" sheet="1" scenarios="1" formatCells="0"/>
  <mergeCells count="99">
    <mergeCell ref="A45:I45"/>
    <mergeCell ref="J45:L45"/>
    <mergeCell ref="M45:Q45"/>
    <mergeCell ref="R45:S45"/>
    <mergeCell ref="T45:U45"/>
    <mergeCell ref="A5:D6"/>
    <mergeCell ref="E5:AH6"/>
    <mergeCell ref="A7:D40"/>
    <mergeCell ref="E7:AH7"/>
    <mergeCell ref="E8:AH12"/>
    <mergeCell ref="E13:S13"/>
    <mergeCell ref="T13:AH13"/>
    <mergeCell ref="E39:N39"/>
    <mergeCell ref="O39:X39"/>
    <mergeCell ref="Y39:AH39"/>
    <mergeCell ref="E40:J40"/>
    <mergeCell ref="K40:N40"/>
    <mergeCell ref="O40:T40"/>
    <mergeCell ref="U40:X40"/>
    <mergeCell ref="Y40:AD40"/>
    <mergeCell ref="AE40:AH40"/>
    <mergeCell ref="AG36:AH38"/>
    <mergeCell ref="E28:F29"/>
    <mergeCell ref="E30:F31"/>
    <mergeCell ref="E34:F35"/>
    <mergeCell ref="G34:P35"/>
    <mergeCell ref="G30:P31"/>
    <mergeCell ref="G28:P29"/>
    <mergeCell ref="Q28:V29"/>
    <mergeCell ref="Q30:V31"/>
    <mergeCell ref="Q34:V35"/>
    <mergeCell ref="W28:AC29"/>
    <mergeCell ref="AB36:AF36"/>
    <mergeCell ref="E36:V38"/>
    <mergeCell ref="W30:AC31"/>
    <mergeCell ref="W34:AC35"/>
    <mergeCell ref="AD28:AH29"/>
    <mergeCell ref="Q27:V27"/>
    <mergeCell ref="G27:P27"/>
    <mergeCell ref="E26:AH26"/>
    <mergeCell ref="E27:F27"/>
    <mergeCell ref="E32:F33"/>
    <mergeCell ref="G32:P33"/>
    <mergeCell ref="Q32:V33"/>
    <mergeCell ref="W32:AC33"/>
    <mergeCell ref="AD32:AH33"/>
    <mergeCell ref="E46:N46"/>
    <mergeCell ref="O46:X46"/>
    <mergeCell ref="Y46:AH46"/>
    <mergeCell ref="E47:J47"/>
    <mergeCell ref="K47:N47"/>
    <mergeCell ref="O47:T47"/>
    <mergeCell ref="U47:X47"/>
    <mergeCell ref="Y47:AD47"/>
    <mergeCell ref="AE47:AH47"/>
    <mergeCell ref="E48:J48"/>
    <mergeCell ref="K48:N48"/>
    <mergeCell ref="O48:T48"/>
    <mergeCell ref="U48:X48"/>
    <mergeCell ref="Y48:AD48"/>
    <mergeCell ref="E49:J49"/>
    <mergeCell ref="K49:N49"/>
    <mergeCell ref="O49:T49"/>
    <mergeCell ref="U49:X49"/>
    <mergeCell ref="Y49:AD49"/>
    <mergeCell ref="AE42:AH42"/>
    <mergeCell ref="O42:X42"/>
    <mergeCell ref="AE50:AH50"/>
    <mergeCell ref="Y50:AD50"/>
    <mergeCell ref="AE49:AH49"/>
    <mergeCell ref="AE48:AH48"/>
    <mergeCell ref="AF45:AG45"/>
    <mergeCell ref="AC45:AD45"/>
    <mergeCell ref="AA45:AB45"/>
    <mergeCell ref="W45:X45"/>
    <mergeCell ref="A3:D4"/>
    <mergeCell ref="E3:G4"/>
    <mergeCell ref="H3:I4"/>
    <mergeCell ref="J3:K4"/>
    <mergeCell ref="Y42:AD42"/>
    <mergeCell ref="AB37:AF37"/>
    <mergeCell ref="AB38:AF38"/>
    <mergeCell ref="W36:AA36"/>
    <mergeCell ref="W37:AA37"/>
    <mergeCell ref="W38:AA38"/>
    <mergeCell ref="AD30:AH31"/>
    <mergeCell ref="AD34:AH35"/>
    <mergeCell ref="E14:S25"/>
    <mergeCell ref="T14:AH25"/>
    <mergeCell ref="W27:AC27"/>
    <mergeCell ref="AD27:AH27"/>
    <mergeCell ref="W3:X4"/>
    <mergeCell ref="Y3:Z4"/>
    <mergeCell ref="AA3:AB4"/>
    <mergeCell ref="L3:M4"/>
    <mergeCell ref="N3:O4"/>
    <mergeCell ref="P3:Q4"/>
    <mergeCell ref="R3:T4"/>
    <mergeCell ref="U3:V4"/>
  </mergeCells>
  <phoneticPr fontId="1"/>
  <conditionalFormatting sqref="AB36:AF38">
    <cfRule type="containsBlanks" dxfId="43" priority="20">
      <formula>LEN(TRIM(AB36))=0</formula>
    </cfRule>
  </conditionalFormatting>
  <conditionalFormatting sqref="E8:AH12">
    <cfRule type="containsBlanks" dxfId="42" priority="19">
      <formula>LEN(TRIM(E8))=0</formula>
    </cfRule>
  </conditionalFormatting>
  <conditionalFormatting sqref="E14:S25">
    <cfRule type="containsBlanks" dxfId="41" priority="18">
      <formula>LEN(TRIM(E14))=0</formula>
    </cfRule>
  </conditionalFormatting>
  <conditionalFormatting sqref="T14:AH25">
    <cfRule type="containsBlanks" dxfId="40" priority="17">
      <formula>LEN(TRIM(T14))=0</formula>
    </cfRule>
  </conditionalFormatting>
  <conditionalFormatting sqref="E5:AH6">
    <cfRule type="containsBlanks" dxfId="39" priority="16">
      <formula>LEN(TRIM(E5))=0</formula>
    </cfRule>
  </conditionalFormatting>
  <conditionalFormatting sqref="E28:F31 E34:F35">
    <cfRule type="containsBlanks" dxfId="38" priority="15">
      <formula>LEN(TRIM(E28))=0</formula>
    </cfRule>
  </conditionalFormatting>
  <conditionalFormatting sqref="Q28">
    <cfRule type="containsBlanks" dxfId="37" priority="14">
      <formula>LEN(TRIM(Q28))=0</formula>
    </cfRule>
  </conditionalFormatting>
  <conditionalFormatting sqref="Q30 Q34">
    <cfRule type="containsBlanks" dxfId="36" priority="13">
      <formula>LEN(TRIM(Q30))=0</formula>
    </cfRule>
  </conditionalFormatting>
  <conditionalFormatting sqref="AD28:AH29">
    <cfRule type="containsBlanks" dxfId="35" priority="12">
      <formula>LEN(TRIM(AD28))=0</formula>
    </cfRule>
  </conditionalFormatting>
  <conditionalFormatting sqref="AD30:AH31">
    <cfRule type="containsBlanks" dxfId="34" priority="11">
      <formula>LEN(TRIM(AD30))=0</formula>
    </cfRule>
  </conditionalFormatting>
  <conditionalFormatting sqref="AD34:AH35">
    <cfRule type="containsBlanks" dxfId="33" priority="10">
      <formula>LEN(TRIM(AD34))=0</formula>
    </cfRule>
  </conditionalFormatting>
  <conditionalFormatting sqref="W28:AC31 W34:AC35">
    <cfRule type="containsBlanks" dxfId="32" priority="9">
      <formula>LEN(TRIM(W28))=0</formula>
    </cfRule>
  </conditionalFormatting>
  <conditionalFormatting sqref="E32:F33">
    <cfRule type="containsBlanks" dxfId="31" priority="8">
      <formula>LEN(TRIM(E32))=0</formula>
    </cfRule>
  </conditionalFormatting>
  <conditionalFormatting sqref="Q32">
    <cfRule type="containsBlanks" dxfId="30" priority="7">
      <formula>LEN(TRIM(Q32))=0</formula>
    </cfRule>
  </conditionalFormatting>
  <conditionalFormatting sqref="AD32:AH33">
    <cfRule type="containsBlanks" dxfId="29" priority="6">
      <formula>LEN(TRIM(AD32))=0</formula>
    </cfRule>
  </conditionalFormatting>
  <conditionalFormatting sqref="W32:AC33">
    <cfRule type="containsBlanks" dxfId="28" priority="5">
      <formula>LEN(TRIM(W32))=0</formula>
    </cfRule>
  </conditionalFormatting>
  <conditionalFormatting sqref="H3:I4">
    <cfRule type="containsBlanks" dxfId="27" priority="4">
      <formula>LEN(TRIM(H3))=0</formula>
    </cfRule>
  </conditionalFormatting>
  <conditionalFormatting sqref="L3:M4">
    <cfRule type="containsBlanks" dxfId="26" priority="3">
      <formula>LEN(TRIM(L3))=0</formula>
    </cfRule>
  </conditionalFormatting>
  <conditionalFormatting sqref="U3:V4">
    <cfRule type="containsBlanks" dxfId="25" priority="2">
      <formula>LEN(TRIM(U3))=0</formula>
    </cfRule>
  </conditionalFormatting>
  <conditionalFormatting sqref="Y3:Z4">
    <cfRule type="containsBlanks" dxfId="24" priority="1">
      <formula>LEN(TRIM(Y3))=0</formula>
    </cfRule>
  </conditionalFormatting>
  <dataValidations disablePrompts="1" count="3">
    <dataValidation type="list" allowBlank="1" showInputMessage="1" showErrorMessage="1" sqref="W28:AC31 W34:AC35">
      <formula1>$AL$49:$AL$51</formula1>
    </dataValidation>
    <dataValidation type="list" allowBlank="1" showInputMessage="1" showErrorMessage="1" sqref="E28:F35">
      <formula1>"○"</formula1>
    </dataValidation>
    <dataValidation type="list" allowBlank="1" showInputMessage="1" showErrorMessage="1" sqref="W32:AC33">
      <formula1>$AL$51:$AL$53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Header>&amp;L&amp;"ＭＳ ゴシック,標準"様式第１３号（第１６条関係）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4"/>
  <sheetViews>
    <sheetView workbookViewId="0">
      <selection activeCell="R20" sqref="R20"/>
    </sheetView>
  </sheetViews>
  <sheetFormatPr defaultColWidth="9" defaultRowHeight="13.5"/>
  <cols>
    <col min="1" max="1" width="2.75" style="1" customWidth="1"/>
    <col min="2" max="7" width="9" style="1"/>
    <col min="8" max="8" width="10.125" style="1" customWidth="1"/>
    <col min="9" max="9" width="10.25" style="1" bestFit="1" customWidth="1"/>
    <col min="10" max="13" width="9" style="1"/>
    <col min="14" max="14" width="11.5" style="1" customWidth="1"/>
    <col min="15" max="15" width="9.5" style="1" customWidth="1"/>
    <col min="16" max="16384" width="9" style="1"/>
  </cols>
  <sheetData>
    <row r="1" spans="2:30">
      <c r="B1" s="160">
        <f>温度条件他根拠!F7</f>
        <v>3</v>
      </c>
      <c r="C1" s="844" t="str">
        <f ca="1">RIGHT(CELL("filename",C1),LEN(CELL("filename",C1))-FIND("]",CELL("filename",C1)))</f>
        <v>秩父市窓遮熱</v>
      </c>
      <c r="F1" s="81" t="s">
        <v>1018</v>
      </c>
    </row>
    <row r="2" spans="2:30">
      <c r="B2" s="869" t="s">
        <v>183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</row>
    <row r="3" spans="2:30" ht="36">
      <c r="B3" s="819" t="s">
        <v>0</v>
      </c>
      <c r="C3" s="20" t="s">
        <v>40</v>
      </c>
      <c r="D3" s="20" t="s">
        <v>41</v>
      </c>
      <c r="E3" s="821" t="s">
        <v>1010</v>
      </c>
      <c r="F3" s="20" t="s">
        <v>42</v>
      </c>
      <c r="G3" s="20" t="s">
        <v>43</v>
      </c>
      <c r="H3" s="18" t="s">
        <v>35</v>
      </c>
      <c r="I3" s="18" t="s">
        <v>36</v>
      </c>
      <c r="J3" s="20" t="s">
        <v>2</v>
      </c>
      <c r="K3" s="20" t="s">
        <v>3</v>
      </c>
      <c r="L3" s="20" t="s">
        <v>39</v>
      </c>
      <c r="M3" s="20" t="s">
        <v>38</v>
      </c>
      <c r="N3" s="20" t="s">
        <v>37</v>
      </c>
      <c r="O3" s="20" t="s">
        <v>44</v>
      </c>
      <c r="Q3" s="819" t="s">
        <v>0</v>
      </c>
      <c r="R3" s="20" t="s">
        <v>40</v>
      </c>
      <c r="S3" s="20" t="s">
        <v>41</v>
      </c>
      <c r="T3" s="821" t="s">
        <v>1010</v>
      </c>
      <c r="U3" s="20" t="s">
        <v>42</v>
      </c>
      <c r="V3" s="20" t="s">
        <v>43</v>
      </c>
      <c r="W3" s="18" t="s">
        <v>35</v>
      </c>
      <c r="X3" s="18" t="s">
        <v>36</v>
      </c>
      <c r="Y3" s="20" t="s">
        <v>2</v>
      </c>
      <c r="Z3" s="20" t="s">
        <v>3</v>
      </c>
      <c r="AA3" s="20" t="s">
        <v>39</v>
      </c>
      <c r="AB3" s="20" t="s">
        <v>38</v>
      </c>
      <c r="AC3" s="20" t="s">
        <v>37</v>
      </c>
      <c r="AD3" s="20" t="s">
        <v>44</v>
      </c>
    </row>
    <row r="4" spans="2:30" ht="24">
      <c r="B4" s="819" t="s">
        <v>14</v>
      </c>
      <c r="C4" s="20" t="s">
        <v>16</v>
      </c>
      <c r="D4" s="20" t="s">
        <v>17</v>
      </c>
      <c r="E4" s="821" t="s">
        <v>18</v>
      </c>
      <c r="F4" s="20" t="s">
        <v>19</v>
      </c>
      <c r="G4" s="20" t="s">
        <v>20</v>
      </c>
      <c r="H4" s="20" t="s">
        <v>30</v>
      </c>
      <c r="I4" s="20" t="s">
        <v>29</v>
      </c>
      <c r="J4" s="20" t="s">
        <v>21</v>
      </c>
      <c r="K4" s="20" t="s">
        <v>22</v>
      </c>
      <c r="L4" s="20" t="s">
        <v>636</v>
      </c>
      <c r="M4" s="20" t="s">
        <v>635</v>
      </c>
      <c r="N4" s="820" t="s">
        <v>25</v>
      </c>
      <c r="O4" s="20" t="s">
        <v>32</v>
      </c>
      <c r="Q4" s="819" t="s">
        <v>14</v>
      </c>
      <c r="R4" s="20" t="s">
        <v>16</v>
      </c>
      <c r="S4" s="20" t="s">
        <v>17</v>
      </c>
      <c r="T4" s="821" t="s">
        <v>18</v>
      </c>
      <c r="U4" s="20" t="s">
        <v>19</v>
      </c>
      <c r="V4" s="20" t="s">
        <v>20</v>
      </c>
      <c r="W4" s="20" t="s">
        <v>30</v>
      </c>
      <c r="X4" s="20" t="s">
        <v>29</v>
      </c>
      <c r="Y4" s="20" t="s">
        <v>21</v>
      </c>
      <c r="Z4" s="20" t="s">
        <v>22</v>
      </c>
      <c r="AA4" s="20" t="s">
        <v>636</v>
      </c>
      <c r="AB4" s="20" t="s">
        <v>635</v>
      </c>
      <c r="AC4" s="820" t="s">
        <v>25</v>
      </c>
      <c r="AD4" s="20" t="s">
        <v>32</v>
      </c>
    </row>
    <row r="5" spans="2:30">
      <c r="B5" s="809" t="s">
        <v>15</v>
      </c>
      <c r="C5" s="5" t="s">
        <v>12</v>
      </c>
      <c r="D5" s="5" t="s">
        <v>12</v>
      </c>
      <c r="E5" s="822" t="s">
        <v>9</v>
      </c>
      <c r="F5" s="5" t="s">
        <v>10</v>
      </c>
      <c r="G5" s="5" t="s">
        <v>10</v>
      </c>
      <c r="H5" s="5" t="s">
        <v>27</v>
      </c>
      <c r="I5" s="5" t="s">
        <v>27</v>
      </c>
      <c r="J5" s="5" t="s">
        <v>10</v>
      </c>
      <c r="K5" s="5" t="s">
        <v>10</v>
      </c>
      <c r="L5" s="5" t="s">
        <v>27</v>
      </c>
      <c r="M5" s="5" t="s">
        <v>27</v>
      </c>
      <c r="N5" s="5" t="s">
        <v>27</v>
      </c>
      <c r="O5" s="809" t="s">
        <v>31</v>
      </c>
      <c r="Q5" s="809" t="s">
        <v>15</v>
      </c>
      <c r="R5" s="5" t="s">
        <v>12</v>
      </c>
      <c r="S5" s="5" t="s">
        <v>12</v>
      </c>
      <c r="T5" s="822" t="s">
        <v>9</v>
      </c>
      <c r="U5" s="5" t="s">
        <v>10</v>
      </c>
      <c r="V5" s="5" t="s">
        <v>10</v>
      </c>
      <c r="W5" s="5" t="s">
        <v>27</v>
      </c>
      <c r="X5" s="5" t="s">
        <v>27</v>
      </c>
      <c r="Y5" s="5" t="s">
        <v>10</v>
      </c>
      <c r="Z5" s="5" t="s">
        <v>10</v>
      </c>
      <c r="AA5" s="5" t="s">
        <v>27</v>
      </c>
      <c r="AB5" s="5" t="s">
        <v>27</v>
      </c>
      <c r="AC5" s="5" t="s">
        <v>27</v>
      </c>
      <c r="AD5" s="809" t="s">
        <v>31</v>
      </c>
    </row>
    <row r="6" spans="2:30">
      <c r="B6" s="809">
        <v>1</v>
      </c>
      <c r="C6" s="3"/>
      <c r="D6" s="7">
        <f>結果!M155</f>
        <v>0</v>
      </c>
      <c r="E6" s="823">
        <f>温度条件他根拠!E17*6</f>
        <v>0</v>
      </c>
      <c r="F6" s="2">
        <v>0</v>
      </c>
      <c r="G6" s="6">
        <f>(温度条件他根拠!$F$11-温度条件他根拠!F9)/(温度条件他根拠!$F$11-温度条件他根拠!$F$9)</f>
        <v>1</v>
      </c>
      <c r="H6" s="7">
        <f>$C$13*E6*F6/1000</f>
        <v>0</v>
      </c>
      <c r="I6" s="7">
        <f>G6*E6*$D$6/1000</f>
        <v>0</v>
      </c>
      <c r="J6" s="6">
        <f>温度条件他根拠!D25</f>
        <v>3.55</v>
      </c>
      <c r="K6" s="6">
        <f>温度条件他根拠!D26</f>
        <v>3.95</v>
      </c>
      <c r="L6" s="7">
        <f t="shared" ref="L6:M17" si="0">H6/J6</f>
        <v>0</v>
      </c>
      <c r="M6" s="7">
        <f t="shared" si="0"/>
        <v>0</v>
      </c>
      <c r="N6" s="13">
        <f>L6+M6</f>
        <v>0</v>
      </c>
      <c r="O6" s="12">
        <f>N6*0.495/1000</f>
        <v>0</v>
      </c>
      <c r="Q6" s="809">
        <v>1</v>
      </c>
      <c r="R6" s="3"/>
      <c r="S6" s="7">
        <f>結果!Q146</f>
        <v>0</v>
      </c>
      <c r="T6" s="823">
        <f>温度条件他根拠!E17*6</f>
        <v>0</v>
      </c>
      <c r="U6" s="2">
        <v>0</v>
      </c>
      <c r="V6" s="6">
        <f>(温度条件他根拠!$F$11-温度条件他根拠!U9)/(温度条件他根拠!$F$11-温度条件他根拠!$F$9)</f>
        <v>0.82644628099173556</v>
      </c>
      <c r="W6" s="7">
        <f>$R$13*T6*U6/1000</f>
        <v>0</v>
      </c>
      <c r="X6" s="7">
        <f>V6*T6*$S$6/1000</f>
        <v>0</v>
      </c>
      <c r="Y6" s="6">
        <f>温度条件他根拠!D25</f>
        <v>3.55</v>
      </c>
      <c r="Z6" s="6">
        <f>温度条件他根拠!D26</f>
        <v>3.95</v>
      </c>
      <c r="AA6" s="7">
        <f t="shared" ref="AA6:AB17" si="1">W6/Y6</f>
        <v>0</v>
      </c>
      <c r="AB6" s="7">
        <f t="shared" si="1"/>
        <v>0</v>
      </c>
      <c r="AC6" s="13">
        <f>AA6+AB6</f>
        <v>0</v>
      </c>
      <c r="AD6" s="12">
        <f>AC6*0.495/1000</f>
        <v>0</v>
      </c>
    </row>
    <row r="7" spans="2:30">
      <c r="B7" s="809">
        <v>2</v>
      </c>
      <c r="C7" s="3"/>
      <c r="D7" s="3"/>
      <c r="E7" s="823">
        <f>E6</f>
        <v>0</v>
      </c>
      <c r="F7" s="2">
        <v>0</v>
      </c>
      <c r="G7" s="6">
        <f>(温度条件他根拠!$F$11--3.3)/(温度条件他根拠!$F$11-温度条件他根拠!$F$9)</f>
        <v>0.96280991735537191</v>
      </c>
      <c r="H7" s="7">
        <f t="shared" ref="H7:H17" si="2">$C$13*E7*F7/1000</f>
        <v>0</v>
      </c>
      <c r="I7" s="7">
        <f t="shared" ref="I7:I17" si="3">G7*E7*$D$6/1000</f>
        <v>0</v>
      </c>
      <c r="J7" s="2">
        <f>J6</f>
        <v>3.55</v>
      </c>
      <c r="K7" s="6">
        <f>K6</f>
        <v>3.95</v>
      </c>
      <c r="L7" s="7">
        <f t="shared" si="0"/>
        <v>0</v>
      </c>
      <c r="M7" s="7">
        <f t="shared" si="0"/>
        <v>0</v>
      </c>
      <c r="N7" s="13">
        <f t="shared" ref="N7:N17" si="4">L7+M7</f>
        <v>0</v>
      </c>
      <c r="O7" s="12">
        <f t="shared" ref="O7:O17" si="5">N7*0.495/1000</f>
        <v>0</v>
      </c>
      <c r="Q7" s="809">
        <v>2</v>
      </c>
      <c r="R7" s="3"/>
      <c r="S7" s="3"/>
      <c r="T7" s="823">
        <f>T6</f>
        <v>0</v>
      </c>
      <c r="U7" s="2">
        <v>0</v>
      </c>
      <c r="V7" s="6">
        <f>(温度条件他根拠!$F$11--3.3)/(温度条件他根拠!$F$11-温度条件他根拠!$F$9)</f>
        <v>0.96280991735537191</v>
      </c>
      <c r="W7" s="7">
        <f>$R$13*T7*U7/1000</f>
        <v>0</v>
      </c>
      <c r="X7" s="7">
        <f>V7*T7*$S$6/1000</f>
        <v>0</v>
      </c>
      <c r="Y7" s="2">
        <f>Y6</f>
        <v>3.55</v>
      </c>
      <c r="Z7" s="6">
        <f>Z6</f>
        <v>3.95</v>
      </c>
      <c r="AA7" s="7">
        <f t="shared" si="1"/>
        <v>0</v>
      </c>
      <c r="AB7" s="7">
        <f t="shared" si="1"/>
        <v>0</v>
      </c>
      <c r="AC7" s="13">
        <f t="shared" ref="AC7:AC17" si="6">AA7+AB7</f>
        <v>0</v>
      </c>
      <c r="AD7" s="12">
        <f t="shared" ref="AD7:AD17" si="7">AC7*0.495/1000</f>
        <v>0</v>
      </c>
    </row>
    <row r="8" spans="2:30">
      <c r="B8" s="809">
        <v>3</v>
      </c>
      <c r="C8" s="3"/>
      <c r="D8" s="3"/>
      <c r="E8" s="823">
        <f t="shared" ref="E8:E17" si="8">E7</f>
        <v>0</v>
      </c>
      <c r="F8" s="2">
        <v>0</v>
      </c>
      <c r="G8" s="6">
        <f>(温度条件他根拠!$F$11-0.2)/(温度条件他根拠!$F$11-温度条件他根拠!$F$9)</f>
        <v>0.81818181818181823</v>
      </c>
      <c r="H8" s="7">
        <f t="shared" si="2"/>
        <v>0</v>
      </c>
      <c r="I8" s="7">
        <f t="shared" si="3"/>
        <v>0</v>
      </c>
      <c r="J8" s="2">
        <f t="shared" ref="J8:K17" si="9">J7</f>
        <v>3.55</v>
      </c>
      <c r="K8" s="6">
        <f t="shared" si="9"/>
        <v>3.95</v>
      </c>
      <c r="L8" s="7">
        <f t="shared" si="0"/>
        <v>0</v>
      </c>
      <c r="M8" s="7">
        <f t="shared" si="0"/>
        <v>0</v>
      </c>
      <c r="N8" s="13">
        <f t="shared" si="4"/>
        <v>0</v>
      </c>
      <c r="O8" s="12">
        <f t="shared" si="5"/>
        <v>0</v>
      </c>
      <c r="Q8" s="809">
        <v>3</v>
      </c>
      <c r="R8" s="3"/>
      <c r="S8" s="3"/>
      <c r="T8" s="823">
        <f t="shared" ref="T8:T17" si="10">T7</f>
        <v>0</v>
      </c>
      <c r="U8" s="2">
        <v>0</v>
      </c>
      <c r="V8" s="6">
        <f>(温度条件他根拠!$F$11-0.2)/(温度条件他根拠!$F$11-温度条件他根拠!$F$9)</f>
        <v>0.81818181818181823</v>
      </c>
      <c r="W8" s="7">
        <f>$R$13*T8*U8/1000</f>
        <v>0</v>
      </c>
      <c r="X8" s="7">
        <f>V8*T8*$S$6/1000</f>
        <v>0</v>
      </c>
      <c r="Y8" s="2">
        <f t="shared" ref="Y8:Z17" si="11">Y7</f>
        <v>3.55</v>
      </c>
      <c r="Z8" s="6">
        <f t="shared" si="11"/>
        <v>3.95</v>
      </c>
      <c r="AA8" s="7">
        <f t="shared" si="1"/>
        <v>0</v>
      </c>
      <c r="AB8" s="7">
        <f t="shared" si="1"/>
        <v>0</v>
      </c>
      <c r="AC8" s="13">
        <f t="shared" si="6"/>
        <v>0</v>
      </c>
      <c r="AD8" s="12">
        <f t="shared" si="7"/>
        <v>0</v>
      </c>
    </row>
    <row r="9" spans="2:30">
      <c r="B9" s="809">
        <v>4</v>
      </c>
      <c r="C9" s="3"/>
      <c r="D9" s="3"/>
      <c r="E9" s="823">
        <f t="shared" si="8"/>
        <v>0</v>
      </c>
      <c r="F9" s="2">
        <v>0</v>
      </c>
      <c r="G9" s="6">
        <f>(温度条件他根拠!$F$11-5.8)/(温度条件他根拠!$F$11-温度条件他根拠!$F$9)</f>
        <v>0.58677685950413216</v>
      </c>
      <c r="H9" s="7">
        <f t="shared" si="2"/>
        <v>0</v>
      </c>
      <c r="I9" s="7">
        <f t="shared" si="3"/>
        <v>0</v>
      </c>
      <c r="J9" s="2">
        <f t="shared" si="9"/>
        <v>3.55</v>
      </c>
      <c r="K9" s="6">
        <f t="shared" si="9"/>
        <v>3.95</v>
      </c>
      <c r="L9" s="7">
        <f t="shared" si="0"/>
        <v>0</v>
      </c>
      <c r="M9" s="7">
        <f t="shared" si="0"/>
        <v>0</v>
      </c>
      <c r="N9" s="13">
        <f t="shared" si="4"/>
        <v>0</v>
      </c>
      <c r="O9" s="12">
        <f t="shared" si="5"/>
        <v>0</v>
      </c>
      <c r="Q9" s="809">
        <v>4</v>
      </c>
      <c r="R9" s="3"/>
      <c r="S9" s="3"/>
      <c r="T9" s="823">
        <f t="shared" si="10"/>
        <v>0</v>
      </c>
      <c r="U9" s="2">
        <v>0</v>
      </c>
      <c r="V9" s="6">
        <f>(温度条件他根拠!$F$11-5.8)/(温度条件他根拠!$F$11-温度条件他根拠!$F$9)</f>
        <v>0.58677685950413216</v>
      </c>
      <c r="W9" s="7">
        <f>$R$13*T9*U9/1000</f>
        <v>0</v>
      </c>
      <c r="X9" s="7">
        <f>V9*T9*$S$6/1000</f>
        <v>0</v>
      </c>
      <c r="Y9" s="2">
        <f t="shared" si="11"/>
        <v>3.55</v>
      </c>
      <c r="Z9" s="6">
        <f t="shared" si="11"/>
        <v>3.95</v>
      </c>
      <c r="AA9" s="7">
        <f t="shared" si="1"/>
        <v>0</v>
      </c>
      <c r="AB9" s="7">
        <f t="shared" si="1"/>
        <v>0</v>
      </c>
      <c r="AC9" s="13">
        <f t="shared" si="6"/>
        <v>0</v>
      </c>
      <c r="AD9" s="12">
        <f t="shared" si="7"/>
        <v>0</v>
      </c>
    </row>
    <row r="10" spans="2:30">
      <c r="B10" s="809">
        <v>5</v>
      </c>
      <c r="C10" s="3"/>
      <c r="D10" s="3"/>
      <c r="E10" s="823">
        <f t="shared" si="8"/>
        <v>0</v>
      </c>
      <c r="F10" s="6">
        <f>(温度条件他根拠!$F$8-温度条件他根拠!$F$10)/(温度条件他根拠!$F$8-23.1)</f>
        <v>0.35526315789473684</v>
      </c>
      <c r="G10" s="6">
        <f>(温度条件他根拠!$F$11-11.2)/(温度条件他根拠!$F$11-温度条件他根拠!$F$9)</f>
        <v>0.3636363636363637</v>
      </c>
      <c r="H10" s="824">
        <f>0.25*$C$13*E10*F10/1000</f>
        <v>0</v>
      </c>
      <c r="I10" s="824">
        <f>0.25*G10*E10*$D$6/1000</f>
        <v>0</v>
      </c>
      <c r="J10" s="2">
        <f t="shared" si="9"/>
        <v>3.55</v>
      </c>
      <c r="K10" s="6">
        <f t="shared" si="9"/>
        <v>3.95</v>
      </c>
      <c r="L10" s="7">
        <f t="shared" si="0"/>
        <v>0</v>
      </c>
      <c r="M10" s="7">
        <f t="shared" si="0"/>
        <v>0</v>
      </c>
      <c r="N10" s="13">
        <f t="shared" si="4"/>
        <v>0</v>
      </c>
      <c r="O10" s="12">
        <f t="shared" si="5"/>
        <v>0</v>
      </c>
      <c r="Q10" s="809">
        <v>5</v>
      </c>
      <c r="R10" s="3"/>
      <c r="S10" s="3"/>
      <c r="T10" s="823">
        <f t="shared" si="10"/>
        <v>0</v>
      </c>
      <c r="U10" s="6">
        <f>(温度条件他根拠!$F$8-温度条件他根拠!$F$10)/(温度条件他根拠!$F$8-23.1)</f>
        <v>0.35526315789473684</v>
      </c>
      <c r="V10" s="6">
        <f>(温度条件他根拠!$F$11-11.2)/(温度条件他根拠!$F$11-温度条件他根拠!$F$9)</f>
        <v>0.3636363636363637</v>
      </c>
      <c r="W10" s="824">
        <f>0.25*$R$13*T10*U10/1000</f>
        <v>0</v>
      </c>
      <c r="X10" s="824">
        <f>0.25*V10*T10*$S$6/1000</f>
        <v>0</v>
      </c>
      <c r="Y10" s="2">
        <f t="shared" si="11"/>
        <v>3.55</v>
      </c>
      <c r="Z10" s="6">
        <f t="shared" si="11"/>
        <v>3.95</v>
      </c>
      <c r="AA10" s="7">
        <f t="shared" si="1"/>
        <v>0</v>
      </c>
      <c r="AB10" s="7">
        <f t="shared" si="1"/>
        <v>0</v>
      </c>
      <c r="AC10" s="13">
        <f t="shared" si="6"/>
        <v>0</v>
      </c>
      <c r="AD10" s="12">
        <f t="shared" si="7"/>
        <v>0</v>
      </c>
    </row>
    <row r="11" spans="2:30">
      <c r="B11" s="809">
        <v>6</v>
      </c>
      <c r="C11" s="3"/>
      <c r="D11" s="3"/>
      <c r="E11" s="823">
        <f t="shared" si="8"/>
        <v>0</v>
      </c>
      <c r="F11" s="6">
        <f>(温度条件他根拠!$F$8-温度条件他根拠!$F$10)/(温度条件他根拠!$F$8-25.5)</f>
        <v>0.51923076923076916</v>
      </c>
      <c r="G11" s="2">
        <v>0</v>
      </c>
      <c r="H11" s="7">
        <f t="shared" si="2"/>
        <v>0</v>
      </c>
      <c r="I11" s="7">
        <f t="shared" si="3"/>
        <v>0</v>
      </c>
      <c r="J11" s="2">
        <f t="shared" si="9"/>
        <v>3.55</v>
      </c>
      <c r="K11" s="6">
        <f t="shared" si="9"/>
        <v>3.95</v>
      </c>
      <c r="L11" s="7">
        <f t="shared" si="0"/>
        <v>0</v>
      </c>
      <c r="M11" s="7">
        <f t="shared" si="0"/>
        <v>0</v>
      </c>
      <c r="N11" s="13">
        <f t="shared" si="4"/>
        <v>0</v>
      </c>
      <c r="O11" s="12">
        <f t="shared" si="5"/>
        <v>0</v>
      </c>
      <c r="Q11" s="809">
        <v>6</v>
      </c>
      <c r="R11" s="3"/>
      <c r="S11" s="3"/>
      <c r="T11" s="823">
        <f t="shared" si="10"/>
        <v>0</v>
      </c>
      <c r="U11" s="6">
        <f>(温度条件他根拠!$F$8-温度条件他根拠!$F$10)/(温度条件他根拠!$F$8-25.5)</f>
        <v>0.51923076923076916</v>
      </c>
      <c r="V11" s="2">
        <v>0</v>
      </c>
      <c r="W11" s="7">
        <f>$R$13*T11*U11/1000</f>
        <v>0</v>
      </c>
      <c r="X11" s="7">
        <f>V11*T11*$S$6/1000</f>
        <v>0</v>
      </c>
      <c r="Y11" s="2">
        <f t="shared" si="11"/>
        <v>3.55</v>
      </c>
      <c r="Z11" s="6">
        <f t="shared" si="11"/>
        <v>3.95</v>
      </c>
      <c r="AA11" s="7">
        <f t="shared" si="1"/>
        <v>0</v>
      </c>
      <c r="AB11" s="7">
        <f t="shared" si="1"/>
        <v>0</v>
      </c>
      <c r="AC11" s="13">
        <f t="shared" si="6"/>
        <v>0</v>
      </c>
      <c r="AD11" s="12">
        <f t="shared" si="7"/>
        <v>0</v>
      </c>
    </row>
    <row r="12" spans="2:30">
      <c r="B12" s="809">
        <v>7</v>
      </c>
      <c r="C12" s="3"/>
      <c r="D12" s="3"/>
      <c r="E12" s="823">
        <f t="shared" si="8"/>
        <v>0</v>
      </c>
      <c r="F12" s="6">
        <f>(温度条件他根拠!$F$8-温度条件他根拠!$F$10)/(温度条件他根拠!$F$8-28)</f>
        <v>1</v>
      </c>
      <c r="G12" s="2">
        <v>0</v>
      </c>
      <c r="H12" s="7">
        <f t="shared" si="2"/>
        <v>0</v>
      </c>
      <c r="I12" s="7">
        <f t="shared" si="3"/>
        <v>0</v>
      </c>
      <c r="J12" s="2">
        <f t="shared" si="9"/>
        <v>3.55</v>
      </c>
      <c r="K12" s="6">
        <f t="shared" si="9"/>
        <v>3.95</v>
      </c>
      <c r="L12" s="7">
        <f t="shared" si="0"/>
        <v>0</v>
      </c>
      <c r="M12" s="7">
        <f t="shared" si="0"/>
        <v>0</v>
      </c>
      <c r="N12" s="13">
        <f t="shared" si="4"/>
        <v>0</v>
      </c>
      <c r="O12" s="12">
        <f t="shared" si="5"/>
        <v>0</v>
      </c>
      <c r="Q12" s="809">
        <v>7</v>
      </c>
      <c r="R12" s="3"/>
      <c r="S12" s="3"/>
      <c r="T12" s="823">
        <f t="shared" si="10"/>
        <v>0</v>
      </c>
      <c r="U12" s="6">
        <f>(温度条件他根拠!$F$8-温度条件他根拠!$F$10)/(温度条件他根拠!$F$8-28)</f>
        <v>1</v>
      </c>
      <c r="V12" s="2">
        <v>0</v>
      </c>
      <c r="W12" s="7">
        <f>$R$13*T12*U12/1000</f>
        <v>0</v>
      </c>
      <c r="X12" s="7">
        <f>V12*T12*$S$6/1000</f>
        <v>0</v>
      </c>
      <c r="Y12" s="2">
        <f t="shared" si="11"/>
        <v>3.55</v>
      </c>
      <c r="Z12" s="6">
        <f t="shared" si="11"/>
        <v>3.95</v>
      </c>
      <c r="AA12" s="7">
        <f t="shared" si="1"/>
        <v>0</v>
      </c>
      <c r="AB12" s="7">
        <f t="shared" si="1"/>
        <v>0</v>
      </c>
      <c r="AC12" s="13">
        <f t="shared" si="6"/>
        <v>0</v>
      </c>
      <c r="AD12" s="12">
        <f t="shared" si="7"/>
        <v>0</v>
      </c>
    </row>
    <row r="13" spans="2:30">
      <c r="B13" s="809">
        <v>8</v>
      </c>
      <c r="C13" s="7">
        <f>結果!I155</f>
        <v>0</v>
      </c>
      <c r="D13" s="3"/>
      <c r="E13" s="823">
        <f t="shared" si="8"/>
        <v>0</v>
      </c>
      <c r="F13" s="6">
        <f>(温度条件他根拠!$F$8-温度条件他根拠!$F$10)/(温度条件他根拠!$F$8-28)</f>
        <v>1</v>
      </c>
      <c r="G13" s="2">
        <v>0</v>
      </c>
      <c r="H13" s="7">
        <f t="shared" si="2"/>
        <v>0</v>
      </c>
      <c r="I13" s="7">
        <f t="shared" si="3"/>
        <v>0</v>
      </c>
      <c r="J13" s="2">
        <f t="shared" si="9"/>
        <v>3.55</v>
      </c>
      <c r="K13" s="6">
        <f t="shared" si="9"/>
        <v>3.95</v>
      </c>
      <c r="L13" s="7">
        <f t="shared" si="0"/>
        <v>0</v>
      </c>
      <c r="M13" s="7">
        <f t="shared" si="0"/>
        <v>0</v>
      </c>
      <c r="N13" s="13">
        <f t="shared" si="4"/>
        <v>0</v>
      </c>
      <c r="O13" s="12">
        <f t="shared" si="5"/>
        <v>0</v>
      </c>
      <c r="Q13" s="809">
        <v>8</v>
      </c>
      <c r="R13" s="7">
        <f>結果!I146</f>
        <v>0</v>
      </c>
      <c r="S13" s="3"/>
      <c r="T13" s="823">
        <f t="shared" si="10"/>
        <v>0</v>
      </c>
      <c r="U13" s="6">
        <f>(温度条件他根拠!$F$8-温度条件他根拠!$F$10)/(温度条件他根拠!$F$8-28)</f>
        <v>1</v>
      </c>
      <c r="V13" s="2">
        <v>0</v>
      </c>
      <c r="W13" s="7">
        <f>$R$13*T13*U13/1000</f>
        <v>0</v>
      </c>
      <c r="X13" s="7">
        <f>V13*T13*$S$6/1000</f>
        <v>0</v>
      </c>
      <c r="Y13" s="2">
        <f t="shared" si="11"/>
        <v>3.55</v>
      </c>
      <c r="Z13" s="6">
        <f t="shared" si="11"/>
        <v>3.95</v>
      </c>
      <c r="AA13" s="7">
        <f t="shared" si="1"/>
        <v>0</v>
      </c>
      <c r="AB13" s="7">
        <f t="shared" si="1"/>
        <v>0</v>
      </c>
      <c r="AC13" s="13">
        <f t="shared" si="6"/>
        <v>0</v>
      </c>
      <c r="AD13" s="12">
        <f t="shared" si="7"/>
        <v>0</v>
      </c>
    </row>
    <row r="14" spans="2:30">
      <c r="B14" s="809">
        <v>9</v>
      </c>
      <c r="C14" s="3"/>
      <c r="D14" s="3"/>
      <c r="E14" s="823">
        <f t="shared" si="8"/>
        <v>0</v>
      </c>
      <c r="F14" s="6">
        <f>(温度条件他根拠!$F$8-温度条件他根拠!$F$10)/(温度条件他根拠!$F$8-25.9)</f>
        <v>0.56249999999999978</v>
      </c>
      <c r="G14" s="2">
        <v>0</v>
      </c>
      <c r="H14" s="7">
        <f t="shared" si="2"/>
        <v>0</v>
      </c>
      <c r="I14" s="7">
        <f t="shared" si="3"/>
        <v>0</v>
      </c>
      <c r="J14" s="2">
        <f t="shared" si="9"/>
        <v>3.55</v>
      </c>
      <c r="K14" s="6">
        <f t="shared" si="9"/>
        <v>3.95</v>
      </c>
      <c r="L14" s="7">
        <f t="shared" si="0"/>
        <v>0</v>
      </c>
      <c r="M14" s="7">
        <f t="shared" si="0"/>
        <v>0</v>
      </c>
      <c r="N14" s="13">
        <f t="shared" si="4"/>
        <v>0</v>
      </c>
      <c r="O14" s="12">
        <f t="shared" si="5"/>
        <v>0</v>
      </c>
      <c r="Q14" s="809">
        <v>9</v>
      </c>
      <c r="R14" s="3"/>
      <c r="S14" s="3"/>
      <c r="T14" s="823">
        <f t="shared" si="10"/>
        <v>0</v>
      </c>
      <c r="U14" s="6">
        <f>(温度条件他根拠!$F$8-温度条件他根拠!$F$10)/(温度条件他根拠!$F$8-25.9)</f>
        <v>0.56249999999999978</v>
      </c>
      <c r="V14" s="2">
        <v>0</v>
      </c>
      <c r="W14" s="7">
        <f>$R$13*T14*U14/1000</f>
        <v>0</v>
      </c>
      <c r="X14" s="7">
        <f>V14*T14*$S$6/1000</f>
        <v>0</v>
      </c>
      <c r="Y14" s="2">
        <f t="shared" si="11"/>
        <v>3.55</v>
      </c>
      <c r="Z14" s="6">
        <f t="shared" si="11"/>
        <v>3.95</v>
      </c>
      <c r="AA14" s="7">
        <f t="shared" si="1"/>
        <v>0</v>
      </c>
      <c r="AB14" s="7">
        <f t="shared" si="1"/>
        <v>0</v>
      </c>
      <c r="AC14" s="13">
        <f t="shared" si="6"/>
        <v>0</v>
      </c>
      <c r="AD14" s="12">
        <f t="shared" si="7"/>
        <v>0</v>
      </c>
    </row>
    <row r="15" spans="2:30">
      <c r="B15" s="809">
        <v>10</v>
      </c>
      <c r="C15" s="3"/>
      <c r="D15" s="3"/>
      <c r="E15" s="823">
        <f t="shared" si="8"/>
        <v>0</v>
      </c>
      <c r="F15" s="6">
        <f>(温度条件他根拠!$F$8-温度条件他根拠!$F$10)/(温度条件他根拠!$F$8-20.5)</f>
        <v>0.26470588235294112</v>
      </c>
      <c r="G15" s="6">
        <f>(温度条件他根拠!$F$11-10.5)/(温度条件他根拠!$F$11-温度条件他根拠!$F$9)</f>
        <v>0.3925619834710744</v>
      </c>
      <c r="H15" s="824">
        <f>($C$13*E15*F15/1000)*0.25</f>
        <v>0</v>
      </c>
      <c r="I15" s="824">
        <f>(G15*E15*$D$6/1000)*0.25</f>
        <v>0</v>
      </c>
      <c r="J15" s="2">
        <f t="shared" si="9"/>
        <v>3.55</v>
      </c>
      <c r="K15" s="6">
        <f t="shared" si="9"/>
        <v>3.95</v>
      </c>
      <c r="L15" s="7">
        <f t="shared" si="0"/>
        <v>0</v>
      </c>
      <c r="M15" s="7">
        <f t="shared" si="0"/>
        <v>0</v>
      </c>
      <c r="N15" s="13">
        <f t="shared" si="4"/>
        <v>0</v>
      </c>
      <c r="O15" s="12">
        <f t="shared" si="5"/>
        <v>0</v>
      </c>
      <c r="Q15" s="809">
        <v>10</v>
      </c>
      <c r="R15" s="3"/>
      <c r="S15" s="3"/>
      <c r="T15" s="823">
        <f t="shared" si="10"/>
        <v>0</v>
      </c>
      <c r="U15" s="6">
        <f>(温度条件他根拠!$F$8-温度条件他根拠!$F$10)/(温度条件他根拠!$F$8-20.5)</f>
        <v>0.26470588235294112</v>
      </c>
      <c r="V15" s="6">
        <f>(温度条件他根拠!$F$11-10.5)/(温度条件他根拠!$F$11-温度条件他根拠!$F$9)</f>
        <v>0.3925619834710744</v>
      </c>
      <c r="W15" s="824">
        <f>($R$13*T15*U15/1000)*0.25</f>
        <v>0</v>
      </c>
      <c r="X15" s="824">
        <f>(V15*T15*$S$6/1000)*0.25</f>
        <v>0</v>
      </c>
      <c r="Y15" s="2">
        <f t="shared" si="11"/>
        <v>3.55</v>
      </c>
      <c r="Z15" s="6">
        <f t="shared" si="11"/>
        <v>3.95</v>
      </c>
      <c r="AA15" s="7">
        <f t="shared" si="1"/>
        <v>0</v>
      </c>
      <c r="AB15" s="7">
        <f t="shared" si="1"/>
        <v>0</v>
      </c>
      <c r="AC15" s="13">
        <f t="shared" si="6"/>
        <v>0</v>
      </c>
      <c r="AD15" s="12">
        <f t="shared" si="7"/>
        <v>0</v>
      </c>
    </row>
    <row r="16" spans="2:30">
      <c r="B16" s="809">
        <v>11</v>
      </c>
      <c r="C16" s="3"/>
      <c r="D16" s="3"/>
      <c r="E16" s="823">
        <f t="shared" si="8"/>
        <v>0</v>
      </c>
      <c r="F16" s="2">
        <v>0</v>
      </c>
      <c r="G16" s="6">
        <f>(温度条件他根拠!$F$11-3.5)/(温度条件他根拠!$F$11-温度条件他根拠!$F$9)</f>
        <v>0.68181818181818188</v>
      </c>
      <c r="H16" s="7">
        <f t="shared" si="2"/>
        <v>0</v>
      </c>
      <c r="I16" s="7">
        <f t="shared" si="3"/>
        <v>0</v>
      </c>
      <c r="J16" s="2">
        <f t="shared" si="9"/>
        <v>3.55</v>
      </c>
      <c r="K16" s="6">
        <f t="shared" si="9"/>
        <v>3.95</v>
      </c>
      <c r="L16" s="7">
        <f t="shared" si="0"/>
        <v>0</v>
      </c>
      <c r="M16" s="7">
        <f t="shared" si="0"/>
        <v>0</v>
      </c>
      <c r="N16" s="13">
        <f t="shared" si="4"/>
        <v>0</v>
      </c>
      <c r="O16" s="12">
        <f t="shared" si="5"/>
        <v>0</v>
      </c>
      <c r="Q16" s="809">
        <v>11</v>
      </c>
      <c r="R16" s="3"/>
      <c r="S16" s="3"/>
      <c r="T16" s="823">
        <f t="shared" si="10"/>
        <v>0</v>
      </c>
      <c r="U16" s="2">
        <v>0</v>
      </c>
      <c r="V16" s="6">
        <f>(温度条件他根拠!$F$11-3.5)/(温度条件他根拠!$F$11-温度条件他根拠!$F$9)</f>
        <v>0.68181818181818188</v>
      </c>
      <c r="W16" s="7">
        <f>$R$13*T16*U16/1000</f>
        <v>0</v>
      </c>
      <c r="X16" s="7">
        <f>V16*T16*$S$6/1000</f>
        <v>0</v>
      </c>
      <c r="Y16" s="2">
        <f t="shared" si="11"/>
        <v>3.55</v>
      </c>
      <c r="Z16" s="6">
        <f t="shared" si="11"/>
        <v>3.95</v>
      </c>
      <c r="AA16" s="7">
        <f t="shared" si="1"/>
        <v>0</v>
      </c>
      <c r="AB16" s="7">
        <f t="shared" si="1"/>
        <v>0</v>
      </c>
      <c r="AC16" s="13">
        <f t="shared" si="6"/>
        <v>0</v>
      </c>
      <c r="AD16" s="12">
        <f t="shared" si="7"/>
        <v>0</v>
      </c>
    </row>
    <row r="17" spans="2:30">
      <c r="B17" s="809">
        <v>12</v>
      </c>
      <c r="C17" s="3"/>
      <c r="D17" s="3"/>
      <c r="E17" s="823">
        <f t="shared" si="8"/>
        <v>0</v>
      </c>
      <c r="F17" s="2">
        <v>0</v>
      </c>
      <c r="G17" s="6">
        <f>(温度条件他根拠!$F$11--0.2)/(温度条件他根拠!$F$11-温度条件他根拠!$F$9)</f>
        <v>0.83471074380165289</v>
      </c>
      <c r="H17" s="7">
        <f t="shared" si="2"/>
        <v>0</v>
      </c>
      <c r="I17" s="7">
        <f t="shared" si="3"/>
        <v>0</v>
      </c>
      <c r="J17" s="2">
        <f t="shared" si="9"/>
        <v>3.55</v>
      </c>
      <c r="K17" s="6">
        <f t="shared" si="9"/>
        <v>3.95</v>
      </c>
      <c r="L17" s="7">
        <f t="shared" si="0"/>
        <v>0</v>
      </c>
      <c r="M17" s="7">
        <f t="shared" si="0"/>
        <v>0</v>
      </c>
      <c r="N17" s="13">
        <f t="shared" si="4"/>
        <v>0</v>
      </c>
      <c r="O17" s="12">
        <f t="shared" si="5"/>
        <v>0</v>
      </c>
      <c r="Q17" s="809">
        <v>12</v>
      </c>
      <c r="R17" s="3"/>
      <c r="S17" s="3"/>
      <c r="T17" s="823">
        <f t="shared" si="10"/>
        <v>0</v>
      </c>
      <c r="U17" s="2">
        <v>0</v>
      </c>
      <c r="V17" s="6">
        <f>(温度条件他根拠!$F$11--0.2)/(温度条件他根拠!$F$11-温度条件他根拠!$F$9)</f>
        <v>0.83471074380165289</v>
      </c>
      <c r="W17" s="7">
        <f>$R$13*T17*U17/1000</f>
        <v>0</v>
      </c>
      <c r="X17" s="7">
        <f>V17*T17*$S$6/1000</f>
        <v>0</v>
      </c>
      <c r="Y17" s="2">
        <f t="shared" si="11"/>
        <v>3.55</v>
      </c>
      <c r="Z17" s="6">
        <f t="shared" si="11"/>
        <v>3.95</v>
      </c>
      <c r="AA17" s="7">
        <f t="shared" si="1"/>
        <v>0</v>
      </c>
      <c r="AB17" s="7">
        <f t="shared" si="1"/>
        <v>0</v>
      </c>
      <c r="AC17" s="13">
        <f t="shared" si="6"/>
        <v>0</v>
      </c>
      <c r="AD17" s="12">
        <f t="shared" si="7"/>
        <v>0</v>
      </c>
    </row>
    <row r="18" spans="2:30">
      <c r="B18" s="2" t="s">
        <v>1</v>
      </c>
      <c r="C18" s="3"/>
      <c r="D18" s="3"/>
      <c r="E18" s="824">
        <f>SUM(E6:E17)</f>
        <v>0</v>
      </c>
      <c r="F18" s="3"/>
      <c r="G18" s="3"/>
      <c r="H18" s="7">
        <f>SUM(H6:H17)</f>
        <v>0</v>
      </c>
      <c r="I18" s="7">
        <f>SUM(I6:I17)</f>
        <v>0</v>
      </c>
      <c r="J18" s="3"/>
      <c r="K18" s="3"/>
      <c r="L18" s="7">
        <f>SUM(L6:L17)</f>
        <v>0</v>
      </c>
      <c r="M18" s="7">
        <f>SUM(M6:M17)</f>
        <v>0</v>
      </c>
      <c r="N18" s="13">
        <f>SUM(N6:N17)</f>
        <v>0</v>
      </c>
      <c r="O18" s="17">
        <f>SUM(O6:O17)</f>
        <v>0</v>
      </c>
      <c r="Q18" s="2" t="s">
        <v>1</v>
      </c>
      <c r="R18" s="3"/>
      <c r="S18" s="3"/>
      <c r="T18" s="824">
        <f>SUM(T6:T17)</f>
        <v>0</v>
      </c>
      <c r="U18" s="3"/>
      <c r="V18" s="3"/>
      <c r="W18" s="7">
        <f>SUM(W6:W17)</f>
        <v>0</v>
      </c>
      <c r="X18" s="7">
        <f>SUM(X6:X17)</f>
        <v>0</v>
      </c>
      <c r="Y18" s="3"/>
      <c r="Z18" s="3"/>
      <c r="AA18" s="7">
        <f>SUM(AA6:AA17)</f>
        <v>0</v>
      </c>
      <c r="AB18" s="7">
        <f>SUM(AB6:AB17)</f>
        <v>0</v>
      </c>
      <c r="AC18" s="13">
        <f>SUM(AC6:AC17)</f>
        <v>0</v>
      </c>
      <c r="AD18" s="17">
        <f>SUM(AD6:AD17)</f>
        <v>0</v>
      </c>
    </row>
    <row r="20" spans="2:30">
      <c r="B20" s="8" t="s">
        <v>23</v>
      </c>
      <c r="C20" s="9"/>
      <c r="D20" s="9"/>
      <c r="E20" s="10">
        <f>L18+M18</f>
        <v>0</v>
      </c>
      <c r="F20" s="9" t="s">
        <v>13</v>
      </c>
      <c r="G20" s="8" t="s">
        <v>24</v>
      </c>
      <c r="H20" s="11"/>
      <c r="Q20" s="8" t="s">
        <v>593</v>
      </c>
      <c r="R20" s="9"/>
      <c r="S20" s="9"/>
      <c r="T20" s="10">
        <f>AA18+AB18</f>
        <v>0</v>
      </c>
      <c r="U20" s="9" t="s">
        <v>13</v>
      </c>
      <c r="V20" s="8" t="s">
        <v>24</v>
      </c>
      <c r="W20" s="11"/>
      <c r="Y20" s="8" t="s">
        <v>595</v>
      </c>
      <c r="Z20" s="9"/>
      <c r="AA20" s="9"/>
      <c r="AB20" s="307">
        <f>T20-E20</f>
        <v>0</v>
      </c>
      <c r="AC20" s="11" t="s">
        <v>13</v>
      </c>
    </row>
    <row r="21" spans="2:30">
      <c r="B21" s="8" t="s">
        <v>28</v>
      </c>
      <c r="C21" s="9"/>
      <c r="D21" s="9"/>
      <c r="E21" s="16">
        <f>E20*0.495/1000</f>
        <v>0</v>
      </c>
      <c r="F21" s="9" t="s">
        <v>7</v>
      </c>
      <c r="G21" s="8" t="s">
        <v>33</v>
      </c>
      <c r="H21" s="11"/>
      <c r="Q21" s="8" t="s">
        <v>594</v>
      </c>
      <c r="R21" s="9"/>
      <c r="S21" s="9"/>
      <c r="T21" s="16">
        <f>T20*0.495/1000</f>
        <v>0</v>
      </c>
      <c r="U21" s="9" t="s">
        <v>7</v>
      </c>
      <c r="V21" s="8" t="s">
        <v>33</v>
      </c>
      <c r="W21" s="11"/>
      <c r="Y21" s="8" t="s">
        <v>596</v>
      </c>
      <c r="Z21" s="9"/>
      <c r="AA21" s="9"/>
      <c r="AB21" s="307">
        <f>T21-E21</f>
        <v>0</v>
      </c>
      <c r="AC21" s="11" t="s">
        <v>7</v>
      </c>
    </row>
    <row r="43" spans="2:3">
      <c r="B43" s="826">
        <v>43927</v>
      </c>
      <c r="C43" s="827" t="s">
        <v>1011</v>
      </c>
    </row>
    <row r="44" spans="2:3">
      <c r="B44" s="826">
        <v>43927</v>
      </c>
      <c r="C44" s="825" t="s">
        <v>1012</v>
      </c>
    </row>
  </sheetData>
  <mergeCells count="1">
    <mergeCell ref="B2:O2"/>
  </mergeCells>
  <phoneticPr fontId="1"/>
  <pageMargins left="0" right="0" top="0.55118110236220474" bottom="0.15748031496062992" header="0.11811023622047245" footer="0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I28"/>
  <sheetViews>
    <sheetView topLeftCell="A16" workbookViewId="0">
      <selection activeCell="D23" sqref="D23"/>
    </sheetView>
  </sheetViews>
  <sheetFormatPr defaultColWidth="9" defaultRowHeight="13.5"/>
  <cols>
    <col min="1" max="1" width="3.75" style="1" customWidth="1"/>
    <col min="2" max="2" width="9" style="1"/>
    <col min="3" max="3" width="10.5" style="1" customWidth="1"/>
    <col min="4" max="7" width="9" style="1"/>
    <col min="8" max="8" width="3.125" style="1" customWidth="1"/>
    <col min="9" max="15" width="9" style="1"/>
    <col min="16" max="16" width="7.125" style="1" customWidth="1"/>
    <col min="17" max="16384" width="9" style="1"/>
  </cols>
  <sheetData>
    <row r="2" spans="2:9">
      <c r="B2" s="1" t="s">
        <v>367</v>
      </c>
    </row>
    <row r="4" spans="2:9" ht="14.25" thickBot="1">
      <c r="B4" s="81" t="s">
        <v>409</v>
      </c>
      <c r="C4" s="81" t="s">
        <v>368</v>
      </c>
    </row>
    <row r="5" spans="2:9">
      <c r="B5" s="2"/>
      <c r="C5" s="4">
        <v>2014</v>
      </c>
      <c r="D5" s="4">
        <v>2015</v>
      </c>
      <c r="E5" s="4">
        <v>2016</v>
      </c>
      <c r="F5" s="47">
        <v>2017</v>
      </c>
      <c r="G5" s="289">
        <v>2018</v>
      </c>
      <c r="I5" s="4" t="s">
        <v>369</v>
      </c>
    </row>
    <row r="6" spans="2:9">
      <c r="B6" s="4" t="s">
        <v>370</v>
      </c>
      <c r="C6" s="7">
        <v>49885</v>
      </c>
      <c r="D6" s="7">
        <v>53825</v>
      </c>
      <c r="E6" s="7">
        <v>42756</v>
      </c>
      <c r="F6" s="276">
        <v>41675</v>
      </c>
      <c r="G6" s="290">
        <v>39880</v>
      </c>
      <c r="I6" s="7">
        <f>AVERAGE(C6:G6)</f>
        <v>45604.2</v>
      </c>
    </row>
    <row r="7" spans="2:9">
      <c r="B7" s="286" t="s">
        <v>371</v>
      </c>
      <c r="C7" s="7">
        <v>29699</v>
      </c>
      <c r="D7" s="7">
        <v>25859</v>
      </c>
      <c r="E7" s="7">
        <v>28881</v>
      </c>
      <c r="F7" s="276">
        <v>35220</v>
      </c>
      <c r="G7" s="290">
        <v>36235</v>
      </c>
      <c r="I7" s="7">
        <f t="shared" ref="I7:I11" si="0">AVERAGE(C7:G7)</f>
        <v>31178.799999999999</v>
      </c>
    </row>
    <row r="8" spans="2:9">
      <c r="B8" s="4" t="s">
        <v>372</v>
      </c>
      <c r="C8" s="7">
        <v>36340</v>
      </c>
      <c r="D8" s="7">
        <v>38761</v>
      </c>
      <c r="E8" s="7">
        <v>29001</v>
      </c>
      <c r="F8" s="276">
        <v>36488</v>
      </c>
      <c r="G8" s="290">
        <v>41767</v>
      </c>
      <c r="I8" s="7">
        <f t="shared" si="0"/>
        <v>36471.4</v>
      </c>
    </row>
    <row r="9" spans="2:9" ht="14.25" thickBot="1">
      <c r="B9" s="287" t="s">
        <v>373</v>
      </c>
      <c r="C9" s="278">
        <v>36126</v>
      </c>
      <c r="D9" s="278">
        <v>27789</v>
      </c>
      <c r="E9" s="278">
        <v>35968</v>
      </c>
      <c r="F9" s="279">
        <v>16041</v>
      </c>
      <c r="G9" s="291">
        <v>43508</v>
      </c>
      <c r="I9" s="278">
        <f t="shared" si="0"/>
        <v>31886.400000000001</v>
      </c>
    </row>
    <row r="10" spans="2:9" ht="14.25" thickBot="1">
      <c r="B10" s="4" t="s">
        <v>374</v>
      </c>
      <c r="C10" s="7">
        <v>35636</v>
      </c>
      <c r="D10" s="7">
        <v>24140</v>
      </c>
      <c r="E10" s="276">
        <v>18828</v>
      </c>
      <c r="F10" s="292">
        <v>30106</v>
      </c>
      <c r="G10" s="288">
        <v>18239</v>
      </c>
      <c r="I10" s="7">
        <f t="shared" si="0"/>
        <v>25389.8</v>
      </c>
    </row>
    <row r="11" spans="2:9" ht="14.25" thickBot="1">
      <c r="B11" s="286" t="s">
        <v>375</v>
      </c>
      <c r="C11" s="7">
        <v>32001</v>
      </c>
      <c r="D11" s="7">
        <v>43534</v>
      </c>
      <c r="E11" s="7">
        <v>29891</v>
      </c>
      <c r="F11" s="280">
        <v>23587</v>
      </c>
      <c r="G11" s="293">
        <v>32178</v>
      </c>
      <c r="I11" s="7">
        <f t="shared" si="0"/>
        <v>32238.2</v>
      </c>
    </row>
    <row r="12" spans="2:9" ht="14.25" thickBot="1"/>
    <row r="13" spans="2:9" ht="14.25" thickBot="1">
      <c r="B13" s="277" t="s">
        <v>376</v>
      </c>
      <c r="C13" s="7">
        <f>AVERAGE(C6:C11)</f>
        <v>36614.5</v>
      </c>
      <c r="D13" s="7">
        <f>AVERAGE(D6:D11)</f>
        <v>35651.333333333336</v>
      </c>
      <c r="E13" s="7">
        <f>AVERAGE(E6:E11)</f>
        <v>30887.5</v>
      </c>
      <c r="F13" s="276">
        <f>AVERAGE(F6:F11)</f>
        <v>30519.5</v>
      </c>
      <c r="G13" s="294">
        <f>AVERAGE(G6:G11)</f>
        <v>35301.166666666664</v>
      </c>
      <c r="I13" s="7">
        <f>AVERAGE(C13:G13)</f>
        <v>33794.800000000003</v>
      </c>
    </row>
    <row r="22" spans="2:4">
      <c r="B22" s="2" t="s">
        <v>377</v>
      </c>
      <c r="C22" s="2" t="s">
        <v>408</v>
      </c>
      <c r="D22" s="281" t="s">
        <v>378</v>
      </c>
    </row>
    <row r="23" spans="2:4">
      <c r="B23" s="2" t="s">
        <v>370</v>
      </c>
      <c r="C23" s="13">
        <f>G6</f>
        <v>39880</v>
      </c>
      <c r="D23" s="282">
        <f>C23/$C$26</f>
        <v>0.91661303668290894</v>
      </c>
    </row>
    <row r="24" spans="2:4">
      <c r="B24" s="277" t="s">
        <v>371</v>
      </c>
      <c r="C24" s="13">
        <f>G7</f>
        <v>36235</v>
      </c>
      <c r="D24" s="282">
        <f t="shared" ref="D24:D28" si="1">C24/$C$26</f>
        <v>0.83283534062701114</v>
      </c>
    </row>
    <row r="25" spans="2:4">
      <c r="B25" s="2" t="s">
        <v>372</v>
      </c>
      <c r="C25" s="13">
        <f>G8</f>
        <v>41767</v>
      </c>
      <c r="D25" s="282">
        <f t="shared" si="1"/>
        <v>0.95998437069044773</v>
      </c>
    </row>
    <row r="26" spans="2:4">
      <c r="B26" s="283" t="s">
        <v>373</v>
      </c>
      <c r="C26" s="284">
        <f>G9</f>
        <v>43508</v>
      </c>
      <c r="D26" s="285">
        <f>C26/$C$26</f>
        <v>1</v>
      </c>
    </row>
    <row r="27" spans="2:4">
      <c r="B27" s="2" t="s">
        <v>374</v>
      </c>
      <c r="C27" s="13">
        <f>F10</f>
        <v>30106</v>
      </c>
      <c r="D27" s="282">
        <f t="shared" si="1"/>
        <v>0.69196469614783485</v>
      </c>
    </row>
    <row r="28" spans="2:4">
      <c r="B28" s="277" t="s">
        <v>375</v>
      </c>
      <c r="C28" s="13">
        <f>G11</f>
        <v>32178</v>
      </c>
      <c r="D28" s="282">
        <f t="shared" si="1"/>
        <v>0.73958812172474031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</sheetPr>
  <dimension ref="B1:AP59"/>
  <sheetViews>
    <sheetView view="pageBreakPreview" topLeftCell="A11" zoomScaleNormal="100" zoomScaleSheetLayoutView="100" workbookViewId="0">
      <selection activeCell="B26" sqref="B26:L26"/>
    </sheetView>
  </sheetViews>
  <sheetFormatPr defaultRowHeight="18" customHeight="1"/>
  <cols>
    <col min="1" max="1" width="1.25" style="302" customWidth="1"/>
    <col min="2" max="2" width="3.625" style="302" customWidth="1"/>
    <col min="3" max="60" width="2.625" style="302" customWidth="1"/>
    <col min="61" max="257" width="9" style="302"/>
    <col min="258" max="290" width="2.625" style="302" customWidth="1"/>
    <col min="291" max="291" width="2.375" style="302" customWidth="1"/>
    <col min="292" max="316" width="2.625" style="302" customWidth="1"/>
    <col min="317" max="513" width="9" style="302"/>
    <col min="514" max="546" width="2.625" style="302" customWidth="1"/>
    <col min="547" max="547" width="2.375" style="302" customWidth="1"/>
    <col min="548" max="572" width="2.625" style="302" customWidth="1"/>
    <col min="573" max="769" width="9" style="302"/>
    <col min="770" max="802" width="2.625" style="302" customWidth="1"/>
    <col min="803" max="803" width="2.375" style="302" customWidth="1"/>
    <col min="804" max="828" width="2.625" style="302" customWidth="1"/>
    <col min="829" max="1025" width="9" style="302"/>
    <col min="1026" max="1058" width="2.625" style="302" customWidth="1"/>
    <col min="1059" max="1059" width="2.375" style="302" customWidth="1"/>
    <col min="1060" max="1084" width="2.625" style="302" customWidth="1"/>
    <col min="1085" max="1281" width="9" style="302"/>
    <col min="1282" max="1314" width="2.625" style="302" customWidth="1"/>
    <col min="1315" max="1315" width="2.375" style="302" customWidth="1"/>
    <col min="1316" max="1340" width="2.625" style="302" customWidth="1"/>
    <col min="1341" max="1537" width="9" style="302"/>
    <col min="1538" max="1570" width="2.625" style="302" customWidth="1"/>
    <col min="1571" max="1571" width="2.375" style="302" customWidth="1"/>
    <col min="1572" max="1596" width="2.625" style="302" customWidth="1"/>
    <col min="1597" max="1793" width="9" style="302"/>
    <col min="1794" max="1826" width="2.625" style="302" customWidth="1"/>
    <col min="1827" max="1827" width="2.375" style="302" customWidth="1"/>
    <col min="1828" max="1852" width="2.625" style="302" customWidth="1"/>
    <col min="1853" max="2049" width="9" style="302"/>
    <col min="2050" max="2082" width="2.625" style="302" customWidth="1"/>
    <col min="2083" max="2083" width="2.375" style="302" customWidth="1"/>
    <col min="2084" max="2108" width="2.625" style="302" customWidth="1"/>
    <col min="2109" max="2305" width="9" style="302"/>
    <col min="2306" max="2338" width="2.625" style="302" customWidth="1"/>
    <col min="2339" max="2339" width="2.375" style="302" customWidth="1"/>
    <col min="2340" max="2364" width="2.625" style="302" customWidth="1"/>
    <col min="2365" max="2561" width="9" style="302"/>
    <col min="2562" max="2594" width="2.625" style="302" customWidth="1"/>
    <col min="2595" max="2595" width="2.375" style="302" customWidth="1"/>
    <col min="2596" max="2620" width="2.625" style="302" customWidth="1"/>
    <col min="2621" max="2817" width="9" style="302"/>
    <col min="2818" max="2850" width="2.625" style="302" customWidth="1"/>
    <col min="2851" max="2851" width="2.375" style="302" customWidth="1"/>
    <col min="2852" max="2876" width="2.625" style="302" customWidth="1"/>
    <col min="2877" max="3073" width="9" style="302"/>
    <col min="3074" max="3106" width="2.625" style="302" customWidth="1"/>
    <col min="3107" max="3107" width="2.375" style="302" customWidth="1"/>
    <col min="3108" max="3132" width="2.625" style="302" customWidth="1"/>
    <col min="3133" max="3329" width="9" style="302"/>
    <col min="3330" max="3362" width="2.625" style="302" customWidth="1"/>
    <col min="3363" max="3363" width="2.375" style="302" customWidth="1"/>
    <col min="3364" max="3388" width="2.625" style="302" customWidth="1"/>
    <col min="3389" max="3585" width="9" style="302"/>
    <col min="3586" max="3618" width="2.625" style="302" customWidth="1"/>
    <col min="3619" max="3619" width="2.375" style="302" customWidth="1"/>
    <col min="3620" max="3644" width="2.625" style="302" customWidth="1"/>
    <col min="3645" max="3841" width="9" style="302"/>
    <col min="3842" max="3874" width="2.625" style="302" customWidth="1"/>
    <col min="3875" max="3875" width="2.375" style="302" customWidth="1"/>
    <col min="3876" max="3900" width="2.625" style="302" customWidth="1"/>
    <col min="3901" max="4097" width="9" style="302"/>
    <col min="4098" max="4130" width="2.625" style="302" customWidth="1"/>
    <col min="4131" max="4131" width="2.375" style="302" customWidth="1"/>
    <col min="4132" max="4156" width="2.625" style="302" customWidth="1"/>
    <col min="4157" max="4353" width="9" style="302"/>
    <col min="4354" max="4386" width="2.625" style="302" customWidth="1"/>
    <col min="4387" max="4387" width="2.375" style="302" customWidth="1"/>
    <col min="4388" max="4412" width="2.625" style="302" customWidth="1"/>
    <col min="4413" max="4609" width="9" style="302"/>
    <col min="4610" max="4642" width="2.625" style="302" customWidth="1"/>
    <col min="4643" max="4643" width="2.375" style="302" customWidth="1"/>
    <col min="4644" max="4668" width="2.625" style="302" customWidth="1"/>
    <col min="4669" max="4865" width="9" style="302"/>
    <col min="4866" max="4898" width="2.625" style="302" customWidth="1"/>
    <col min="4899" max="4899" width="2.375" style="302" customWidth="1"/>
    <col min="4900" max="4924" width="2.625" style="302" customWidth="1"/>
    <col min="4925" max="5121" width="9" style="302"/>
    <col min="5122" max="5154" width="2.625" style="302" customWidth="1"/>
    <col min="5155" max="5155" width="2.375" style="302" customWidth="1"/>
    <col min="5156" max="5180" width="2.625" style="302" customWidth="1"/>
    <col min="5181" max="5377" width="9" style="302"/>
    <col min="5378" max="5410" width="2.625" style="302" customWidth="1"/>
    <col min="5411" max="5411" width="2.375" style="302" customWidth="1"/>
    <col min="5412" max="5436" width="2.625" style="302" customWidth="1"/>
    <col min="5437" max="5633" width="9" style="302"/>
    <col min="5634" max="5666" width="2.625" style="302" customWidth="1"/>
    <col min="5667" max="5667" width="2.375" style="302" customWidth="1"/>
    <col min="5668" max="5692" width="2.625" style="302" customWidth="1"/>
    <col min="5693" max="5889" width="9" style="302"/>
    <col min="5890" max="5922" width="2.625" style="302" customWidth="1"/>
    <col min="5923" max="5923" width="2.375" style="302" customWidth="1"/>
    <col min="5924" max="5948" width="2.625" style="302" customWidth="1"/>
    <col min="5949" max="6145" width="9" style="302"/>
    <col min="6146" max="6178" width="2.625" style="302" customWidth="1"/>
    <col min="6179" max="6179" width="2.375" style="302" customWidth="1"/>
    <col min="6180" max="6204" width="2.625" style="302" customWidth="1"/>
    <col min="6205" max="6401" width="9" style="302"/>
    <col min="6402" max="6434" width="2.625" style="302" customWidth="1"/>
    <col min="6435" max="6435" width="2.375" style="302" customWidth="1"/>
    <col min="6436" max="6460" width="2.625" style="302" customWidth="1"/>
    <col min="6461" max="6657" width="9" style="302"/>
    <col min="6658" max="6690" width="2.625" style="302" customWidth="1"/>
    <col min="6691" max="6691" width="2.375" style="302" customWidth="1"/>
    <col min="6692" max="6716" width="2.625" style="302" customWidth="1"/>
    <col min="6717" max="6913" width="9" style="302"/>
    <col min="6914" max="6946" width="2.625" style="302" customWidth="1"/>
    <col min="6947" max="6947" width="2.375" style="302" customWidth="1"/>
    <col min="6948" max="6972" width="2.625" style="302" customWidth="1"/>
    <col min="6973" max="7169" width="9" style="302"/>
    <col min="7170" max="7202" width="2.625" style="302" customWidth="1"/>
    <col min="7203" max="7203" width="2.375" style="302" customWidth="1"/>
    <col min="7204" max="7228" width="2.625" style="302" customWidth="1"/>
    <col min="7229" max="7425" width="9" style="302"/>
    <col min="7426" max="7458" width="2.625" style="302" customWidth="1"/>
    <col min="7459" max="7459" width="2.375" style="302" customWidth="1"/>
    <col min="7460" max="7484" width="2.625" style="302" customWidth="1"/>
    <col min="7485" max="7681" width="9" style="302"/>
    <col min="7682" max="7714" width="2.625" style="302" customWidth="1"/>
    <col min="7715" max="7715" width="2.375" style="302" customWidth="1"/>
    <col min="7716" max="7740" width="2.625" style="302" customWidth="1"/>
    <col min="7741" max="7937" width="9" style="302"/>
    <col min="7938" max="7970" width="2.625" style="302" customWidth="1"/>
    <col min="7971" max="7971" width="2.375" style="302" customWidth="1"/>
    <col min="7972" max="7996" width="2.625" style="302" customWidth="1"/>
    <col min="7997" max="8193" width="9" style="302"/>
    <col min="8194" max="8226" width="2.625" style="302" customWidth="1"/>
    <col min="8227" max="8227" width="2.375" style="302" customWidth="1"/>
    <col min="8228" max="8252" width="2.625" style="302" customWidth="1"/>
    <col min="8253" max="8449" width="9" style="302"/>
    <col min="8450" max="8482" width="2.625" style="302" customWidth="1"/>
    <col min="8483" max="8483" width="2.375" style="302" customWidth="1"/>
    <col min="8484" max="8508" width="2.625" style="302" customWidth="1"/>
    <col min="8509" max="8705" width="9" style="302"/>
    <col min="8706" max="8738" width="2.625" style="302" customWidth="1"/>
    <col min="8739" max="8739" width="2.375" style="302" customWidth="1"/>
    <col min="8740" max="8764" width="2.625" style="302" customWidth="1"/>
    <col min="8765" max="8961" width="9" style="302"/>
    <col min="8962" max="8994" width="2.625" style="302" customWidth="1"/>
    <col min="8995" max="8995" width="2.375" style="302" customWidth="1"/>
    <col min="8996" max="9020" width="2.625" style="302" customWidth="1"/>
    <col min="9021" max="9217" width="9" style="302"/>
    <col min="9218" max="9250" width="2.625" style="302" customWidth="1"/>
    <col min="9251" max="9251" width="2.375" style="302" customWidth="1"/>
    <col min="9252" max="9276" width="2.625" style="302" customWidth="1"/>
    <col min="9277" max="9473" width="9" style="302"/>
    <col min="9474" max="9506" width="2.625" style="302" customWidth="1"/>
    <col min="9507" max="9507" width="2.375" style="302" customWidth="1"/>
    <col min="9508" max="9532" width="2.625" style="302" customWidth="1"/>
    <col min="9533" max="9729" width="9" style="302"/>
    <col min="9730" max="9762" width="2.625" style="302" customWidth="1"/>
    <col min="9763" max="9763" width="2.375" style="302" customWidth="1"/>
    <col min="9764" max="9788" width="2.625" style="302" customWidth="1"/>
    <col min="9789" max="9985" width="9" style="302"/>
    <col min="9986" max="10018" width="2.625" style="302" customWidth="1"/>
    <col min="10019" max="10019" width="2.375" style="302" customWidth="1"/>
    <col min="10020" max="10044" width="2.625" style="302" customWidth="1"/>
    <col min="10045" max="10241" width="9" style="302"/>
    <col min="10242" max="10274" width="2.625" style="302" customWidth="1"/>
    <col min="10275" max="10275" width="2.375" style="302" customWidth="1"/>
    <col min="10276" max="10300" width="2.625" style="302" customWidth="1"/>
    <col min="10301" max="10497" width="9" style="302"/>
    <col min="10498" max="10530" width="2.625" style="302" customWidth="1"/>
    <col min="10531" max="10531" width="2.375" style="302" customWidth="1"/>
    <col min="10532" max="10556" width="2.625" style="302" customWidth="1"/>
    <col min="10557" max="10753" width="9" style="302"/>
    <col min="10754" max="10786" width="2.625" style="302" customWidth="1"/>
    <col min="10787" max="10787" width="2.375" style="302" customWidth="1"/>
    <col min="10788" max="10812" width="2.625" style="302" customWidth="1"/>
    <col min="10813" max="11009" width="9" style="302"/>
    <col min="11010" max="11042" width="2.625" style="302" customWidth="1"/>
    <col min="11043" max="11043" width="2.375" style="302" customWidth="1"/>
    <col min="11044" max="11068" width="2.625" style="302" customWidth="1"/>
    <col min="11069" max="11265" width="9" style="302"/>
    <col min="11266" max="11298" width="2.625" style="302" customWidth="1"/>
    <col min="11299" max="11299" width="2.375" style="302" customWidth="1"/>
    <col min="11300" max="11324" width="2.625" style="302" customWidth="1"/>
    <col min="11325" max="11521" width="9" style="302"/>
    <col min="11522" max="11554" width="2.625" style="302" customWidth="1"/>
    <col min="11555" max="11555" width="2.375" style="302" customWidth="1"/>
    <col min="11556" max="11580" width="2.625" style="302" customWidth="1"/>
    <col min="11581" max="11777" width="9" style="302"/>
    <col min="11778" max="11810" width="2.625" style="302" customWidth="1"/>
    <col min="11811" max="11811" width="2.375" style="302" customWidth="1"/>
    <col min="11812" max="11836" width="2.625" style="302" customWidth="1"/>
    <col min="11837" max="12033" width="9" style="302"/>
    <col min="12034" max="12066" width="2.625" style="302" customWidth="1"/>
    <col min="12067" max="12067" width="2.375" style="302" customWidth="1"/>
    <col min="12068" max="12092" width="2.625" style="302" customWidth="1"/>
    <col min="12093" max="12289" width="9" style="302"/>
    <col min="12290" max="12322" width="2.625" style="302" customWidth="1"/>
    <col min="12323" max="12323" width="2.375" style="302" customWidth="1"/>
    <col min="12324" max="12348" width="2.625" style="302" customWidth="1"/>
    <col min="12349" max="12545" width="9" style="302"/>
    <col min="12546" max="12578" width="2.625" style="302" customWidth="1"/>
    <col min="12579" max="12579" width="2.375" style="302" customWidth="1"/>
    <col min="12580" max="12604" width="2.625" style="302" customWidth="1"/>
    <col min="12605" max="12801" width="9" style="302"/>
    <col min="12802" max="12834" width="2.625" style="302" customWidth="1"/>
    <col min="12835" max="12835" width="2.375" style="302" customWidth="1"/>
    <col min="12836" max="12860" width="2.625" style="302" customWidth="1"/>
    <col min="12861" max="13057" width="9" style="302"/>
    <col min="13058" max="13090" width="2.625" style="302" customWidth="1"/>
    <col min="13091" max="13091" width="2.375" style="302" customWidth="1"/>
    <col min="13092" max="13116" width="2.625" style="302" customWidth="1"/>
    <col min="13117" max="13313" width="9" style="302"/>
    <col min="13314" max="13346" width="2.625" style="302" customWidth="1"/>
    <col min="13347" max="13347" width="2.375" style="302" customWidth="1"/>
    <col min="13348" max="13372" width="2.625" style="302" customWidth="1"/>
    <col min="13373" max="13569" width="9" style="302"/>
    <col min="13570" max="13602" width="2.625" style="302" customWidth="1"/>
    <col min="13603" max="13603" width="2.375" style="302" customWidth="1"/>
    <col min="13604" max="13628" width="2.625" style="302" customWidth="1"/>
    <col min="13629" max="13825" width="9" style="302"/>
    <col min="13826" max="13858" width="2.625" style="302" customWidth="1"/>
    <col min="13859" max="13859" width="2.375" style="302" customWidth="1"/>
    <col min="13860" max="13884" width="2.625" style="302" customWidth="1"/>
    <col min="13885" max="14081" width="9" style="302"/>
    <col min="14082" max="14114" width="2.625" style="302" customWidth="1"/>
    <col min="14115" max="14115" width="2.375" style="302" customWidth="1"/>
    <col min="14116" max="14140" width="2.625" style="302" customWidth="1"/>
    <col min="14141" max="14337" width="9" style="302"/>
    <col min="14338" max="14370" width="2.625" style="302" customWidth="1"/>
    <col min="14371" max="14371" width="2.375" style="302" customWidth="1"/>
    <col min="14372" max="14396" width="2.625" style="302" customWidth="1"/>
    <col min="14397" max="14593" width="9" style="302"/>
    <col min="14594" max="14626" width="2.625" style="302" customWidth="1"/>
    <col min="14627" max="14627" width="2.375" style="302" customWidth="1"/>
    <col min="14628" max="14652" width="2.625" style="302" customWidth="1"/>
    <col min="14653" max="14849" width="9" style="302"/>
    <col min="14850" max="14882" width="2.625" style="302" customWidth="1"/>
    <col min="14883" max="14883" width="2.375" style="302" customWidth="1"/>
    <col min="14884" max="14908" width="2.625" style="302" customWidth="1"/>
    <col min="14909" max="15105" width="9" style="302"/>
    <col min="15106" max="15138" width="2.625" style="302" customWidth="1"/>
    <col min="15139" max="15139" width="2.375" style="302" customWidth="1"/>
    <col min="15140" max="15164" width="2.625" style="302" customWidth="1"/>
    <col min="15165" max="15361" width="9" style="302"/>
    <col min="15362" max="15394" width="2.625" style="302" customWidth="1"/>
    <col min="15395" max="15395" width="2.375" style="302" customWidth="1"/>
    <col min="15396" max="15420" width="2.625" style="302" customWidth="1"/>
    <col min="15421" max="15617" width="9" style="302"/>
    <col min="15618" max="15650" width="2.625" style="302" customWidth="1"/>
    <col min="15651" max="15651" width="2.375" style="302" customWidth="1"/>
    <col min="15652" max="15676" width="2.625" style="302" customWidth="1"/>
    <col min="15677" max="15873" width="9" style="302"/>
    <col min="15874" max="15906" width="2.625" style="302" customWidth="1"/>
    <col min="15907" max="15907" width="2.375" style="302" customWidth="1"/>
    <col min="15908" max="15932" width="2.625" style="302" customWidth="1"/>
    <col min="15933" max="16129" width="9" style="302"/>
    <col min="16130" max="16162" width="2.625" style="302" customWidth="1"/>
    <col min="16163" max="16163" width="2.375" style="302" customWidth="1"/>
    <col min="16164" max="16188" width="2.625" style="302" customWidth="1"/>
    <col min="16189" max="16384" width="9" style="302"/>
  </cols>
  <sheetData>
    <row r="1" spans="2:35" ht="18" hidden="1" customHeight="1">
      <c r="B1" s="302">
        <v>1</v>
      </c>
      <c r="C1" s="302">
        <v>2</v>
      </c>
      <c r="D1" s="302">
        <v>3</v>
      </c>
      <c r="E1" s="302">
        <v>4</v>
      </c>
      <c r="F1" s="302">
        <v>5</v>
      </c>
      <c r="G1" s="302">
        <v>6</v>
      </c>
      <c r="H1" s="302">
        <v>7</v>
      </c>
      <c r="I1" s="302">
        <v>8</v>
      </c>
      <c r="J1" s="302">
        <v>9</v>
      </c>
      <c r="K1" s="302">
        <v>10</v>
      </c>
      <c r="L1" s="302">
        <v>11</v>
      </c>
      <c r="M1" s="302">
        <v>12</v>
      </c>
      <c r="N1" s="302">
        <v>13</v>
      </c>
      <c r="O1" s="302">
        <v>14</v>
      </c>
      <c r="P1" s="302">
        <v>15</v>
      </c>
      <c r="Q1" s="302">
        <v>16</v>
      </c>
      <c r="R1" s="302">
        <v>17</v>
      </c>
      <c r="S1" s="302">
        <v>18</v>
      </c>
      <c r="T1" s="302">
        <v>19</v>
      </c>
      <c r="U1" s="302">
        <v>20</v>
      </c>
      <c r="V1" s="302">
        <v>21</v>
      </c>
      <c r="W1" s="302">
        <v>22</v>
      </c>
      <c r="X1" s="302">
        <v>23</v>
      </c>
      <c r="Y1" s="302">
        <v>24</v>
      </c>
      <c r="Z1" s="302">
        <v>25</v>
      </c>
      <c r="AA1" s="302">
        <v>26</v>
      </c>
      <c r="AB1" s="302">
        <v>27</v>
      </c>
      <c r="AC1" s="302">
        <v>28</v>
      </c>
      <c r="AD1" s="302">
        <v>29</v>
      </c>
      <c r="AE1" s="302">
        <v>30</v>
      </c>
      <c r="AF1" s="302">
        <v>31</v>
      </c>
      <c r="AG1" s="302">
        <v>32</v>
      </c>
      <c r="AH1" s="302">
        <v>33</v>
      </c>
      <c r="AI1" s="302">
        <v>34</v>
      </c>
    </row>
    <row r="2" spans="2:35" ht="18" customHeight="1">
      <c r="B2" s="800" t="s">
        <v>598</v>
      </c>
      <c r="AI2" s="779"/>
    </row>
    <row r="3" spans="2:35" ht="18" customHeight="1">
      <c r="B3" s="799" t="s">
        <v>915</v>
      </c>
      <c r="AI3" s="779"/>
    </row>
    <row r="4" spans="2:35" ht="18" customHeight="1">
      <c r="C4" s="1020"/>
      <c r="D4" s="1021"/>
      <c r="E4" s="890" t="s">
        <v>927</v>
      </c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1"/>
      <c r="R4" s="780"/>
      <c r="S4" s="780"/>
      <c r="T4" s="1020"/>
      <c r="U4" s="1021"/>
      <c r="V4" s="889" t="s">
        <v>928</v>
      </c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1"/>
      <c r="AI4" s="779"/>
    </row>
    <row r="5" spans="2:35" ht="18" customHeight="1">
      <c r="C5" s="1022"/>
      <c r="D5" s="102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4"/>
      <c r="R5" s="780"/>
      <c r="S5" s="780"/>
      <c r="T5" s="1022"/>
      <c r="U5" s="1023"/>
      <c r="V5" s="892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4"/>
      <c r="AI5" s="779"/>
    </row>
    <row r="6" spans="2:35" s="645" customFormat="1" ht="12">
      <c r="AI6" s="781"/>
    </row>
    <row r="7" spans="2:35" ht="18" customHeight="1">
      <c r="B7" s="799" t="s">
        <v>916</v>
      </c>
      <c r="AI7" s="801" t="s">
        <v>645</v>
      </c>
    </row>
    <row r="8" spans="2:35" ht="18" customHeight="1">
      <c r="B8" s="1028" t="s">
        <v>599</v>
      </c>
      <c r="C8" s="1029"/>
      <c r="D8" s="1029"/>
      <c r="E8" s="1029"/>
      <c r="F8" s="1029"/>
      <c r="G8" s="1029"/>
      <c r="H8" s="1029"/>
      <c r="I8" s="1029"/>
      <c r="J8" s="1029"/>
      <c r="K8" s="1029"/>
      <c r="L8" s="1030"/>
      <c r="M8" s="1034" t="s">
        <v>646</v>
      </c>
      <c r="N8" s="1035"/>
      <c r="O8" s="1035"/>
      <c r="P8" s="1035"/>
      <c r="Q8" s="1035"/>
      <c r="R8" s="1035"/>
      <c r="S8" s="1035"/>
      <c r="T8" s="1035"/>
      <c r="U8" s="1035"/>
      <c r="V8" s="1035"/>
      <c r="W8" s="1035"/>
      <c r="X8" s="1035"/>
      <c r="Y8" s="1034" t="s">
        <v>600</v>
      </c>
      <c r="Z8" s="1035"/>
      <c r="AA8" s="1035"/>
      <c r="AB8" s="1035"/>
      <c r="AC8" s="1036"/>
      <c r="AD8" s="1035" t="s">
        <v>601</v>
      </c>
      <c r="AE8" s="1035"/>
      <c r="AF8" s="1035"/>
      <c r="AG8" s="1035"/>
      <c r="AH8" s="1035"/>
      <c r="AI8" s="1036"/>
    </row>
    <row r="9" spans="2:35" ht="18" customHeight="1">
      <c r="B9" s="1031"/>
      <c r="C9" s="1032"/>
      <c r="D9" s="1032"/>
      <c r="E9" s="1032"/>
      <c r="F9" s="1032"/>
      <c r="G9" s="1032"/>
      <c r="H9" s="1032"/>
      <c r="I9" s="1032"/>
      <c r="J9" s="1032"/>
      <c r="K9" s="1032"/>
      <c r="L9" s="1033"/>
      <c r="M9" s="1040" t="s">
        <v>602</v>
      </c>
      <c r="N9" s="1040"/>
      <c r="O9" s="1040"/>
      <c r="P9" s="1040"/>
      <c r="Q9" s="1040"/>
      <c r="R9" s="1040" t="s">
        <v>603</v>
      </c>
      <c r="S9" s="1040"/>
      <c r="T9" s="1040" t="s">
        <v>604</v>
      </c>
      <c r="U9" s="1040"/>
      <c r="V9" s="1040"/>
      <c r="W9" s="1040"/>
      <c r="X9" s="1041"/>
      <c r="Y9" s="1037"/>
      <c r="Z9" s="1038"/>
      <c r="AA9" s="1038"/>
      <c r="AB9" s="1038"/>
      <c r="AC9" s="1039"/>
      <c r="AD9" s="1038"/>
      <c r="AE9" s="1038"/>
      <c r="AF9" s="1038"/>
      <c r="AG9" s="1038"/>
      <c r="AH9" s="1038"/>
      <c r="AI9" s="1039"/>
    </row>
    <row r="10" spans="2:35" ht="16.7" customHeight="1">
      <c r="B10" s="1052" t="s">
        <v>605</v>
      </c>
      <c r="C10" s="1055"/>
      <c r="D10" s="1056"/>
      <c r="E10" s="1056"/>
      <c r="F10" s="1056"/>
      <c r="G10" s="1056"/>
      <c r="H10" s="1056"/>
      <c r="I10" s="1056"/>
      <c r="J10" s="1056"/>
      <c r="K10" s="1056"/>
      <c r="L10" s="1056"/>
      <c r="M10" s="1057"/>
      <c r="N10" s="1057"/>
      <c r="O10" s="1057"/>
      <c r="P10" s="1057"/>
      <c r="Q10" s="1057"/>
      <c r="R10" s="1057"/>
      <c r="S10" s="1057"/>
      <c r="T10" s="1057">
        <f t="shared" ref="T10:T11" si="0">ROUND(M10*R10,0)</f>
        <v>0</v>
      </c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42">
        <f t="shared" ref="AD10:AD18" si="1">T10+Y10</f>
        <v>0</v>
      </c>
      <c r="AE10" s="1042"/>
      <c r="AF10" s="1042"/>
      <c r="AG10" s="1042"/>
      <c r="AH10" s="1042"/>
      <c r="AI10" s="1042"/>
    </row>
    <row r="11" spans="2:35" ht="16.7" customHeight="1">
      <c r="B11" s="1053"/>
      <c r="C11" s="1043"/>
      <c r="D11" s="1044"/>
      <c r="E11" s="1044"/>
      <c r="F11" s="1044"/>
      <c r="G11" s="1044"/>
      <c r="H11" s="1044"/>
      <c r="I11" s="1044"/>
      <c r="J11" s="1044"/>
      <c r="K11" s="1044"/>
      <c r="L11" s="1045"/>
      <c r="M11" s="1046"/>
      <c r="N11" s="1047"/>
      <c r="O11" s="1047"/>
      <c r="P11" s="1047"/>
      <c r="Q11" s="1048"/>
      <c r="R11" s="1046"/>
      <c r="S11" s="1048"/>
      <c r="T11" s="1046">
        <f t="shared" si="0"/>
        <v>0</v>
      </c>
      <c r="U11" s="1047"/>
      <c r="V11" s="1047"/>
      <c r="W11" s="1047"/>
      <c r="X11" s="1048"/>
      <c r="Y11" s="1046"/>
      <c r="Z11" s="1047"/>
      <c r="AA11" s="1047"/>
      <c r="AB11" s="1047"/>
      <c r="AC11" s="1048"/>
      <c r="AD11" s="1049">
        <f t="shared" si="1"/>
        <v>0</v>
      </c>
      <c r="AE11" s="1050"/>
      <c r="AF11" s="1050"/>
      <c r="AG11" s="1050"/>
      <c r="AH11" s="1050"/>
      <c r="AI11" s="1051"/>
    </row>
    <row r="12" spans="2:35" ht="16.7" customHeight="1">
      <c r="B12" s="1053"/>
      <c r="C12" s="1043"/>
      <c r="D12" s="1044"/>
      <c r="E12" s="1044"/>
      <c r="F12" s="1044"/>
      <c r="G12" s="1044"/>
      <c r="H12" s="1044"/>
      <c r="I12" s="1044"/>
      <c r="J12" s="1044"/>
      <c r="K12" s="1044"/>
      <c r="L12" s="1045"/>
      <c r="M12" s="1046"/>
      <c r="N12" s="1047"/>
      <c r="O12" s="1047"/>
      <c r="P12" s="1047"/>
      <c r="Q12" s="1048"/>
      <c r="R12" s="1046"/>
      <c r="S12" s="1048"/>
      <c r="T12" s="1046">
        <f t="shared" ref="T12:T15" si="2">ROUND(M12*R12,0)</f>
        <v>0</v>
      </c>
      <c r="U12" s="1047"/>
      <c r="V12" s="1047"/>
      <c r="W12" s="1047"/>
      <c r="X12" s="1048"/>
      <c r="Y12" s="1046"/>
      <c r="Z12" s="1047"/>
      <c r="AA12" s="1047"/>
      <c r="AB12" s="1047"/>
      <c r="AC12" s="1048"/>
      <c r="AD12" s="1049">
        <f t="shared" si="1"/>
        <v>0</v>
      </c>
      <c r="AE12" s="1050"/>
      <c r="AF12" s="1050"/>
      <c r="AG12" s="1050"/>
      <c r="AH12" s="1050"/>
      <c r="AI12" s="1051"/>
    </row>
    <row r="13" spans="2:35" ht="16.7" customHeight="1">
      <c r="B13" s="1053"/>
      <c r="C13" s="1043"/>
      <c r="D13" s="1044"/>
      <c r="E13" s="1044"/>
      <c r="F13" s="1044"/>
      <c r="G13" s="1044"/>
      <c r="H13" s="1044"/>
      <c r="I13" s="1044"/>
      <c r="J13" s="1044"/>
      <c r="K13" s="1044"/>
      <c r="L13" s="1045"/>
      <c r="M13" s="1046"/>
      <c r="N13" s="1047"/>
      <c r="O13" s="1047"/>
      <c r="P13" s="1047"/>
      <c r="Q13" s="1048"/>
      <c r="R13" s="1046"/>
      <c r="S13" s="1048"/>
      <c r="T13" s="1046">
        <f t="shared" si="2"/>
        <v>0</v>
      </c>
      <c r="U13" s="1047"/>
      <c r="V13" s="1047"/>
      <c r="W13" s="1047"/>
      <c r="X13" s="1048"/>
      <c r="Y13" s="1046"/>
      <c r="Z13" s="1047"/>
      <c r="AA13" s="1047"/>
      <c r="AB13" s="1047"/>
      <c r="AC13" s="1048"/>
      <c r="AD13" s="1049">
        <f t="shared" ref="AD13:AD16" si="3">T13+Y13</f>
        <v>0</v>
      </c>
      <c r="AE13" s="1050"/>
      <c r="AF13" s="1050"/>
      <c r="AG13" s="1050"/>
      <c r="AH13" s="1050"/>
      <c r="AI13" s="1051"/>
    </row>
    <row r="14" spans="2:35" ht="16.7" customHeight="1">
      <c r="B14" s="1053"/>
      <c r="C14" s="1043"/>
      <c r="D14" s="1044"/>
      <c r="E14" s="1044"/>
      <c r="F14" s="1044"/>
      <c r="G14" s="1044"/>
      <c r="H14" s="1044"/>
      <c r="I14" s="1044"/>
      <c r="J14" s="1044"/>
      <c r="K14" s="1044"/>
      <c r="L14" s="1045"/>
      <c r="M14" s="1046"/>
      <c r="N14" s="1047"/>
      <c r="O14" s="1047"/>
      <c r="P14" s="1047"/>
      <c r="Q14" s="1048"/>
      <c r="R14" s="1046"/>
      <c r="S14" s="1048"/>
      <c r="T14" s="1046">
        <f t="shared" si="2"/>
        <v>0</v>
      </c>
      <c r="U14" s="1047"/>
      <c r="V14" s="1047"/>
      <c r="W14" s="1047"/>
      <c r="X14" s="1048"/>
      <c r="Y14" s="1046"/>
      <c r="Z14" s="1047"/>
      <c r="AA14" s="1047"/>
      <c r="AB14" s="1047"/>
      <c r="AC14" s="1048"/>
      <c r="AD14" s="1049">
        <f t="shared" si="3"/>
        <v>0</v>
      </c>
      <c r="AE14" s="1050"/>
      <c r="AF14" s="1050"/>
      <c r="AG14" s="1050"/>
      <c r="AH14" s="1050"/>
      <c r="AI14" s="1051"/>
    </row>
    <row r="15" spans="2:35" ht="16.7" customHeight="1">
      <c r="B15" s="1053"/>
      <c r="C15" s="1043"/>
      <c r="D15" s="1044"/>
      <c r="E15" s="1044"/>
      <c r="F15" s="1044"/>
      <c r="G15" s="1044"/>
      <c r="H15" s="1044"/>
      <c r="I15" s="1044"/>
      <c r="J15" s="1044"/>
      <c r="K15" s="1044"/>
      <c r="L15" s="1045"/>
      <c r="M15" s="1046"/>
      <c r="N15" s="1047"/>
      <c r="O15" s="1047"/>
      <c r="P15" s="1047"/>
      <c r="Q15" s="1048"/>
      <c r="R15" s="1046"/>
      <c r="S15" s="1048"/>
      <c r="T15" s="1046">
        <f t="shared" si="2"/>
        <v>0</v>
      </c>
      <c r="U15" s="1047"/>
      <c r="V15" s="1047"/>
      <c r="W15" s="1047"/>
      <c r="X15" s="1048"/>
      <c r="Y15" s="1046"/>
      <c r="Z15" s="1047"/>
      <c r="AA15" s="1047"/>
      <c r="AB15" s="1047"/>
      <c r="AC15" s="1048"/>
      <c r="AD15" s="1049">
        <f t="shared" si="3"/>
        <v>0</v>
      </c>
      <c r="AE15" s="1050"/>
      <c r="AF15" s="1050"/>
      <c r="AG15" s="1050"/>
      <c r="AH15" s="1050"/>
      <c r="AI15" s="1051"/>
    </row>
    <row r="16" spans="2:35" ht="16.7" customHeight="1">
      <c r="B16" s="1053"/>
      <c r="C16" s="1043"/>
      <c r="D16" s="1044"/>
      <c r="E16" s="1044"/>
      <c r="F16" s="1044"/>
      <c r="G16" s="1044"/>
      <c r="H16" s="1044"/>
      <c r="I16" s="1044"/>
      <c r="J16" s="1044"/>
      <c r="K16" s="1044"/>
      <c r="L16" s="1045"/>
      <c r="M16" s="1046"/>
      <c r="N16" s="1047"/>
      <c r="O16" s="1047"/>
      <c r="P16" s="1047"/>
      <c r="Q16" s="1048"/>
      <c r="R16" s="1046"/>
      <c r="S16" s="1048"/>
      <c r="T16" s="1046">
        <f t="shared" ref="T16" si="4">ROUND(M16*R16,0)</f>
        <v>0</v>
      </c>
      <c r="U16" s="1047"/>
      <c r="V16" s="1047"/>
      <c r="W16" s="1047"/>
      <c r="X16" s="1048"/>
      <c r="Y16" s="1046"/>
      <c r="Z16" s="1047"/>
      <c r="AA16" s="1047"/>
      <c r="AB16" s="1047"/>
      <c r="AC16" s="1048"/>
      <c r="AD16" s="1049">
        <f t="shared" si="3"/>
        <v>0</v>
      </c>
      <c r="AE16" s="1050"/>
      <c r="AF16" s="1050"/>
      <c r="AG16" s="1050"/>
      <c r="AH16" s="1050"/>
      <c r="AI16" s="1051"/>
    </row>
    <row r="17" spans="2:42" ht="16.7" customHeight="1">
      <c r="B17" s="1053"/>
      <c r="C17" s="1043"/>
      <c r="D17" s="1044"/>
      <c r="E17" s="1044"/>
      <c r="F17" s="1044"/>
      <c r="G17" s="1044"/>
      <c r="H17" s="1044"/>
      <c r="I17" s="1044"/>
      <c r="J17" s="1044"/>
      <c r="K17" s="1044"/>
      <c r="L17" s="1045"/>
      <c r="M17" s="1046"/>
      <c r="N17" s="1047"/>
      <c r="O17" s="1047"/>
      <c r="P17" s="1047"/>
      <c r="Q17" s="1048"/>
      <c r="R17" s="1046"/>
      <c r="S17" s="1048"/>
      <c r="T17" s="1046">
        <f t="shared" ref="T17" si="5">ROUND(M17*R17,0)</f>
        <v>0</v>
      </c>
      <c r="U17" s="1047"/>
      <c r="V17" s="1047"/>
      <c r="W17" s="1047"/>
      <c r="X17" s="1048"/>
      <c r="Y17" s="1046"/>
      <c r="Z17" s="1047"/>
      <c r="AA17" s="1047"/>
      <c r="AB17" s="1047"/>
      <c r="AC17" s="1048"/>
      <c r="AD17" s="1049">
        <f t="shared" ref="AD17" si="6">T17+Y17</f>
        <v>0</v>
      </c>
      <c r="AE17" s="1050"/>
      <c r="AF17" s="1050"/>
      <c r="AG17" s="1050"/>
      <c r="AH17" s="1050"/>
      <c r="AI17" s="1051"/>
    </row>
    <row r="18" spans="2:42" ht="18" customHeight="1">
      <c r="B18" s="1054"/>
      <c r="C18" s="1058" t="s">
        <v>934</v>
      </c>
      <c r="D18" s="1058"/>
      <c r="E18" s="1058"/>
      <c r="F18" s="1058"/>
      <c r="G18" s="1058"/>
      <c r="H18" s="1058"/>
      <c r="I18" s="1058"/>
      <c r="J18" s="1058"/>
      <c r="K18" s="1058"/>
      <c r="L18" s="1058"/>
      <c r="M18" s="1059"/>
      <c r="N18" s="1059"/>
      <c r="O18" s="1059"/>
      <c r="P18" s="1059"/>
      <c r="Q18" s="1059"/>
      <c r="R18" s="1059"/>
      <c r="S18" s="1059"/>
      <c r="T18" s="1060">
        <f>SUM(T10:T17)</f>
        <v>0</v>
      </c>
      <c r="U18" s="1060"/>
      <c r="V18" s="1060"/>
      <c r="W18" s="1060"/>
      <c r="X18" s="1060"/>
      <c r="Y18" s="1060">
        <f>SUM(Y10:Y17)</f>
        <v>0</v>
      </c>
      <c r="Z18" s="1060"/>
      <c r="AA18" s="1060"/>
      <c r="AB18" s="1060"/>
      <c r="AC18" s="1060"/>
      <c r="AD18" s="1060">
        <f t="shared" si="1"/>
        <v>0</v>
      </c>
      <c r="AE18" s="1060"/>
      <c r="AF18" s="1060"/>
      <c r="AG18" s="1060"/>
      <c r="AH18" s="1060"/>
      <c r="AI18" s="1060"/>
    </row>
    <row r="19" spans="2:42" ht="16.7" customHeight="1">
      <c r="B19" s="1052" t="s">
        <v>1031</v>
      </c>
      <c r="C19" s="1055"/>
      <c r="D19" s="1056"/>
      <c r="E19" s="1056"/>
      <c r="F19" s="1056"/>
      <c r="G19" s="1056"/>
      <c r="H19" s="1056"/>
      <c r="I19" s="1056"/>
      <c r="J19" s="1056"/>
      <c r="K19" s="1056"/>
      <c r="L19" s="1056"/>
      <c r="M19" s="1081"/>
      <c r="N19" s="1081"/>
      <c r="O19" s="1081"/>
      <c r="P19" s="1081"/>
      <c r="Q19" s="1081"/>
      <c r="R19" s="1082"/>
      <c r="S19" s="1082"/>
      <c r="T19" s="1057"/>
      <c r="U19" s="1057"/>
      <c r="V19" s="1057"/>
      <c r="W19" s="1057"/>
      <c r="X19" s="1057"/>
      <c r="Y19" s="1057"/>
      <c r="Z19" s="1057"/>
      <c r="AA19" s="1057"/>
      <c r="AB19" s="1057"/>
      <c r="AC19" s="1057"/>
      <c r="AD19" s="1065">
        <f t="shared" ref="AD19:AD25" si="7">T19+Y19</f>
        <v>0</v>
      </c>
      <c r="AE19" s="1065"/>
      <c r="AF19" s="1065"/>
      <c r="AG19" s="1065"/>
      <c r="AH19" s="1065"/>
      <c r="AI19" s="1065"/>
    </row>
    <row r="20" spans="2:42" ht="16.7" customHeight="1">
      <c r="B20" s="1053"/>
      <c r="C20" s="1043"/>
      <c r="D20" s="1044"/>
      <c r="E20" s="1044"/>
      <c r="F20" s="1044"/>
      <c r="G20" s="1044"/>
      <c r="H20" s="1044"/>
      <c r="I20" s="1044"/>
      <c r="J20" s="1044"/>
      <c r="K20" s="1044"/>
      <c r="L20" s="1045"/>
      <c r="M20" s="1061"/>
      <c r="N20" s="1061"/>
      <c r="O20" s="1061"/>
      <c r="P20" s="1061"/>
      <c r="Q20" s="1061"/>
      <c r="R20" s="1062"/>
      <c r="S20" s="1062"/>
      <c r="T20" s="1063"/>
      <c r="U20" s="1063"/>
      <c r="V20" s="1063"/>
      <c r="W20" s="1063"/>
      <c r="X20" s="1063"/>
      <c r="Y20" s="1063"/>
      <c r="Z20" s="1063"/>
      <c r="AA20" s="1063"/>
      <c r="AB20" s="1063"/>
      <c r="AC20" s="1063"/>
      <c r="AD20" s="1064">
        <f t="shared" si="7"/>
        <v>0</v>
      </c>
      <c r="AE20" s="1064"/>
      <c r="AF20" s="1064"/>
      <c r="AG20" s="1064"/>
      <c r="AH20" s="1064"/>
      <c r="AI20" s="1064"/>
    </row>
    <row r="21" spans="2:42" ht="16.7" customHeight="1">
      <c r="B21" s="1053"/>
      <c r="C21" s="1043"/>
      <c r="D21" s="1044"/>
      <c r="E21" s="1044"/>
      <c r="F21" s="1044"/>
      <c r="G21" s="1044"/>
      <c r="H21" s="1044"/>
      <c r="I21" s="1044"/>
      <c r="J21" s="1044"/>
      <c r="K21" s="1044"/>
      <c r="L21" s="1045"/>
      <c r="M21" s="1061"/>
      <c r="N21" s="1061"/>
      <c r="O21" s="1061"/>
      <c r="P21" s="1061"/>
      <c r="Q21" s="1061"/>
      <c r="R21" s="1062"/>
      <c r="S21" s="1062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4">
        <f t="shared" ref="AD21:AD22" si="8">T21+Y21</f>
        <v>0</v>
      </c>
      <c r="AE21" s="1064"/>
      <c r="AF21" s="1064"/>
      <c r="AG21" s="1064"/>
      <c r="AH21" s="1064"/>
      <c r="AI21" s="1064"/>
    </row>
    <row r="22" spans="2:42" ht="16.7" customHeight="1">
      <c r="B22" s="1053"/>
      <c r="C22" s="1043"/>
      <c r="D22" s="1044"/>
      <c r="E22" s="1044"/>
      <c r="F22" s="1044"/>
      <c r="G22" s="1044"/>
      <c r="H22" s="1044"/>
      <c r="I22" s="1044"/>
      <c r="J22" s="1044"/>
      <c r="K22" s="1044"/>
      <c r="L22" s="1045"/>
      <c r="M22" s="1061"/>
      <c r="N22" s="1061"/>
      <c r="O22" s="1061"/>
      <c r="P22" s="1061"/>
      <c r="Q22" s="1061"/>
      <c r="R22" s="1062"/>
      <c r="S22" s="1062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4">
        <f t="shared" si="8"/>
        <v>0</v>
      </c>
      <c r="AE22" s="1064"/>
      <c r="AF22" s="1064"/>
      <c r="AG22" s="1064"/>
      <c r="AH22" s="1064"/>
      <c r="AI22" s="1064"/>
    </row>
    <row r="23" spans="2:42" ht="16.7" customHeight="1">
      <c r="B23" s="1053"/>
      <c r="C23" s="1043"/>
      <c r="D23" s="1044"/>
      <c r="E23" s="1044"/>
      <c r="F23" s="1044"/>
      <c r="G23" s="1044"/>
      <c r="H23" s="1044"/>
      <c r="I23" s="1044"/>
      <c r="J23" s="1044"/>
      <c r="K23" s="1044"/>
      <c r="L23" s="1045"/>
      <c r="M23" s="1061"/>
      <c r="N23" s="1061"/>
      <c r="O23" s="1061"/>
      <c r="P23" s="1061"/>
      <c r="Q23" s="1061"/>
      <c r="R23" s="1062"/>
      <c r="S23" s="1062"/>
      <c r="T23" s="1063"/>
      <c r="U23" s="1063"/>
      <c r="V23" s="1063"/>
      <c r="W23" s="1063"/>
      <c r="X23" s="1063"/>
      <c r="Y23" s="1063"/>
      <c r="Z23" s="1063"/>
      <c r="AA23" s="1063"/>
      <c r="AB23" s="1063"/>
      <c r="AC23" s="1063"/>
      <c r="AD23" s="1064">
        <f t="shared" ref="AD23" si="9">T23+Y23</f>
        <v>0</v>
      </c>
      <c r="AE23" s="1064"/>
      <c r="AF23" s="1064"/>
      <c r="AG23" s="1064"/>
      <c r="AH23" s="1064"/>
      <c r="AI23" s="1064"/>
    </row>
    <row r="24" spans="2:42" ht="16.7" customHeight="1">
      <c r="B24" s="1053"/>
      <c r="C24" s="1068"/>
      <c r="D24" s="1069"/>
      <c r="E24" s="1069"/>
      <c r="F24" s="1069"/>
      <c r="G24" s="1069"/>
      <c r="H24" s="1069"/>
      <c r="I24" s="1069"/>
      <c r="J24" s="1069"/>
      <c r="K24" s="1069"/>
      <c r="L24" s="1069"/>
      <c r="M24" s="1070"/>
      <c r="N24" s="1070"/>
      <c r="O24" s="1070"/>
      <c r="P24" s="1070"/>
      <c r="Q24" s="1070"/>
      <c r="R24" s="1071"/>
      <c r="S24" s="1071"/>
      <c r="T24" s="1072"/>
      <c r="U24" s="1072"/>
      <c r="V24" s="1072"/>
      <c r="W24" s="1072"/>
      <c r="X24" s="1072"/>
      <c r="Y24" s="1072"/>
      <c r="Z24" s="1072"/>
      <c r="AA24" s="1072"/>
      <c r="AB24" s="1072"/>
      <c r="AC24" s="1072"/>
      <c r="AD24" s="1073">
        <f>T24+Y24</f>
        <v>0</v>
      </c>
      <c r="AE24" s="1073"/>
      <c r="AF24" s="1073"/>
      <c r="AG24" s="1073"/>
      <c r="AH24" s="1073"/>
      <c r="AI24" s="1073"/>
    </row>
    <row r="25" spans="2:42" ht="18" customHeight="1">
      <c r="B25" s="1054"/>
      <c r="C25" s="1058" t="s">
        <v>604</v>
      </c>
      <c r="D25" s="1058"/>
      <c r="E25" s="1058"/>
      <c r="F25" s="1058"/>
      <c r="G25" s="1058"/>
      <c r="H25" s="1058"/>
      <c r="I25" s="1058"/>
      <c r="J25" s="1058"/>
      <c r="K25" s="1058"/>
      <c r="L25" s="1058"/>
      <c r="M25" s="1083"/>
      <c r="N25" s="1083"/>
      <c r="O25" s="1083"/>
      <c r="P25" s="1083"/>
      <c r="Q25" s="1083"/>
      <c r="R25" s="1083"/>
      <c r="S25" s="1083"/>
      <c r="T25" s="1060">
        <f>SUM(T19:T24)</f>
        <v>0</v>
      </c>
      <c r="U25" s="1060"/>
      <c r="V25" s="1060"/>
      <c r="W25" s="1060"/>
      <c r="X25" s="1060"/>
      <c r="Y25" s="1060">
        <f>SUM(Y19:Y24)</f>
        <v>0</v>
      </c>
      <c r="Z25" s="1060"/>
      <c r="AA25" s="1060"/>
      <c r="AB25" s="1060"/>
      <c r="AC25" s="1060"/>
      <c r="AD25" s="1060">
        <f t="shared" si="7"/>
        <v>0</v>
      </c>
      <c r="AE25" s="1060"/>
      <c r="AF25" s="1060"/>
      <c r="AG25" s="1060"/>
      <c r="AH25" s="1060"/>
      <c r="AI25" s="1060"/>
      <c r="AP25" s="646"/>
    </row>
    <row r="26" spans="2:42" ht="18" customHeight="1">
      <c r="B26" s="1074" t="s">
        <v>926</v>
      </c>
      <c r="C26" s="1074"/>
      <c r="D26" s="1074"/>
      <c r="E26" s="1074"/>
      <c r="F26" s="1074"/>
      <c r="G26" s="1074"/>
      <c r="H26" s="1074"/>
      <c r="I26" s="1074"/>
      <c r="J26" s="1074"/>
      <c r="K26" s="1074"/>
      <c r="L26" s="1074"/>
      <c r="M26" s="1075" t="s">
        <v>924</v>
      </c>
      <c r="N26" s="1075"/>
      <c r="O26" s="1075"/>
      <c r="P26" s="1075"/>
      <c r="Q26" s="1075"/>
      <c r="R26" s="1075"/>
      <c r="S26" s="1075"/>
      <c r="T26" s="1075"/>
      <c r="U26" s="1075"/>
      <c r="V26" s="1075"/>
      <c r="W26" s="1075"/>
      <c r="X26" s="1075"/>
      <c r="Y26" s="1075"/>
      <c r="Z26" s="1075"/>
      <c r="AA26" s="1075"/>
      <c r="AB26" s="1075"/>
      <c r="AC26" s="1075"/>
      <c r="AD26" s="1060">
        <f>AD18+AD25</f>
        <v>0</v>
      </c>
      <c r="AE26" s="1060"/>
      <c r="AF26" s="1060"/>
      <c r="AG26" s="1060"/>
      <c r="AH26" s="1060"/>
      <c r="AI26" s="1060"/>
    </row>
    <row r="27" spans="2:42" ht="18" customHeight="1">
      <c r="B27" s="1074" t="s">
        <v>606</v>
      </c>
      <c r="C27" s="1074"/>
      <c r="D27" s="1074"/>
      <c r="E27" s="1074"/>
      <c r="F27" s="1074"/>
      <c r="G27" s="1074"/>
      <c r="H27" s="1074"/>
      <c r="I27" s="1074"/>
      <c r="J27" s="1074"/>
      <c r="K27" s="1074"/>
      <c r="L27" s="1074"/>
      <c r="M27" s="1075"/>
      <c r="N27" s="1075"/>
      <c r="O27" s="1075"/>
      <c r="P27" s="1075"/>
      <c r="Q27" s="1075"/>
      <c r="R27" s="1075"/>
      <c r="S27" s="1075"/>
      <c r="T27" s="1075"/>
      <c r="U27" s="1075"/>
      <c r="V27" s="1075"/>
      <c r="W27" s="1075"/>
      <c r="X27" s="1075"/>
      <c r="Y27" s="1075"/>
      <c r="Z27" s="1075"/>
      <c r="AA27" s="1075"/>
      <c r="AB27" s="1075"/>
      <c r="AC27" s="1075"/>
      <c r="AD27" s="1060">
        <f>ROUNDDOWN(AD26*0.1,0)</f>
        <v>0</v>
      </c>
      <c r="AE27" s="1060"/>
      <c r="AF27" s="1060"/>
      <c r="AG27" s="1060"/>
      <c r="AH27" s="1060"/>
      <c r="AI27" s="1060"/>
    </row>
    <row r="28" spans="2:42" ht="18" customHeight="1">
      <c r="B28" s="1074" t="s">
        <v>607</v>
      </c>
      <c r="C28" s="1074"/>
      <c r="D28" s="1074"/>
      <c r="E28" s="1074"/>
      <c r="F28" s="1074"/>
      <c r="G28" s="1074"/>
      <c r="H28" s="1074"/>
      <c r="I28" s="1074"/>
      <c r="J28" s="1074"/>
      <c r="K28" s="1074"/>
      <c r="L28" s="1074"/>
      <c r="M28" s="1075" t="s">
        <v>925</v>
      </c>
      <c r="N28" s="1075"/>
      <c r="O28" s="1075"/>
      <c r="P28" s="1075"/>
      <c r="Q28" s="1075"/>
      <c r="R28" s="1075"/>
      <c r="S28" s="1075"/>
      <c r="T28" s="1075"/>
      <c r="U28" s="1075"/>
      <c r="V28" s="1075"/>
      <c r="W28" s="1075"/>
      <c r="X28" s="1075"/>
      <c r="Y28" s="1075"/>
      <c r="Z28" s="1075"/>
      <c r="AA28" s="1075"/>
      <c r="AB28" s="1075"/>
      <c r="AC28" s="1075"/>
      <c r="AD28" s="1060">
        <f>AD26+AD27</f>
        <v>0</v>
      </c>
      <c r="AE28" s="1060"/>
      <c r="AF28" s="1060"/>
      <c r="AG28" s="1060"/>
      <c r="AH28" s="1060"/>
      <c r="AI28" s="1060"/>
    </row>
    <row r="29" spans="2:42" s="645" customFormat="1" ht="12">
      <c r="B29" s="783"/>
      <c r="C29" s="783"/>
      <c r="D29" s="784"/>
      <c r="E29" s="784"/>
      <c r="F29" s="784"/>
      <c r="G29" s="784"/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4"/>
      <c r="Z29" s="784"/>
      <c r="AA29" s="784"/>
      <c r="AB29" s="784"/>
      <c r="AC29" s="784"/>
      <c r="AD29" s="784"/>
      <c r="AE29" s="784"/>
      <c r="AF29" s="784"/>
      <c r="AG29" s="784"/>
      <c r="AH29" s="784"/>
      <c r="AI29" s="784"/>
    </row>
    <row r="30" spans="2:42" ht="18" customHeight="1">
      <c r="B30" s="799" t="s">
        <v>950</v>
      </c>
      <c r="D30" s="784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4"/>
      <c r="Q30" s="784"/>
      <c r="R30" s="784"/>
      <c r="S30" s="784"/>
      <c r="T30" s="784"/>
      <c r="U30" s="784"/>
      <c r="V30" s="784"/>
      <c r="W30" s="784"/>
      <c r="X30" s="784"/>
      <c r="Y30" s="784"/>
      <c r="Z30" s="784"/>
      <c r="AA30" s="784"/>
      <c r="AB30" s="784"/>
      <c r="AC30" s="784"/>
      <c r="AD30" s="784"/>
      <c r="AE30" s="784"/>
      <c r="AF30" s="784"/>
      <c r="AG30" s="784"/>
      <c r="AH30" s="784"/>
      <c r="AI30" s="782" t="s">
        <v>645</v>
      </c>
    </row>
    <row r="31" spans="2:42" ht="18" customHeight="1">
      <c r="B31" s="1066" t="s">
        <v>611</v>
      </c>
      <c r="C31" s="1066"/>
      <c r="D31" s="1066"/>
      <c r="E31" s="1066"/>
      <c r="F31" s="1066"/>
      <c r="G31" s="1066"/>
      <c r="H31" s="1066" t="s">
        <v>612</v>
      </c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7" t="s">
        <v>610</v>
      </c>
      <c r="U31" s="1067"/>
      <c r="V31" s="1067"/>
      <c r="W31" s="1067"/>
      <c r="X31" s="1067"/>
      <c r="Y31" s="1067" t="s">
        <v>613</v>
      </c>
      <c r="Z31" s="1067"/>
      <c r="AA31" s="1067"/>
      <c r="AB31" s="1067"/>
      <c r="AC31" s="1067"/>
      <c r="AD31" s="1067" t="s">
        <v>601</v>
      </c>
      <c r="AE31" s="1067"/>
      <c r="AF31" s="1067"/>
      <c r="AG31" s="1067"/>
      <c r="AH31" s="1067"/>
      <c r="AI31" s="1067"/>
    </row>
    <row r="32" spans="2:42" ht="18" customHeight="1">
      <c r="B32" s="1076" t="s">
        <v>935</v>
      </c>
      <c r="C32" s="1076"/>
      <c r="D32" s="1076"/>
      <c r="E32" s="1076"/>
      <c r="F32" s="1076"/>
      <c r="G32" s="1076"/>
      <c r="H32" s="1077"/>
      <c r="I32" s="1077"/>
      <c r="J32" s="1077"/>
      <c r="K32" s="1077"/>
      <c r="L32" s="1077"/>
      <c r="M32" s="1077"/>
      <c r="N32" s="1077"/>
      <c r="O32" s="1077"/>
      <c r="P32" s="1077"/>
      <c r="Q32" s="1077"/>
      <c r="R32" s="1077"/>
      <c r="S32" s="1077"/>
      <c r="T32" s="1060">
        <f>+T18</f>
        <v>0</v>
      </c>
      <c r="U32" s="1060"/>
      <c r="V32" s="1060"/>
      <c r="W32" s="1060"/>
      <c r="X32" s="1060"/>
      <c r="Y32" s="1060">
        <f>+Y18</f>
        <v>0</v>
      </c>
      <c r="Z32" s="1060"/>
      <c r="AA32" s="1060"/>
      <c r="AB32" s="1060"/>
      <c r="AC32" s="1060"/>
      <c r="AD32" s="1078">
        <f>+AD18</f>
        <v>0</v>
      </c>
      <c r="AE32" s="1079"/>
      <c r="AF32" s="1079"/>
      <c r="AG32" s="1079"/>
      <c r="AH32" s="1079"/>
      <c r="AI32" s="1080"/>
    </row>
    <row r="33" spans="2:35" ht="18" customHeight="1">
      <c r="B33" s="1084" t="s">
        <v>936</v>
      </c>
      <c r="C33" s="1085"/>
      <c r="D33" s="1085"/>
      <c r="E33" s="1085"/>
      <c r="F33" s="1085"/>
      <c r="G33" s="1086"/>
      <c r="H33" s="1087" t="s">
        <v>932</v>
      </c>
      <c r="I33" s="1087"/>
      <c r="J33" s="1087"/>
      <c r="K33" s="1087"/>
      <c r="L33" s="1087"/>
      <c r="M33" s="1087"/>
      <c r="N33" s="1087"/>
      <c r="O33" s="1087"/>
      <c r="P33" s="1087"/>
      <c r="Q33" s="1087"/>
      <c r="R33" s="1087"/>
      <c r="S33" s="1087"/>
      <c r="T33" s="1088"/>
      <c r="U33" s="1088"/>
      <c r="V33" s="1088"/>
      <c r="W33" s="1088"/>
      <c r="X33" s="1088"/>
      <c r="Y33" s="1088"/>
      <c r="Z33" s="1088"/>
      <c r="AA33" s="1088"/>
      <c r="AB33" s="1088"/>
      <c r="AC33" s="1088"/>
      <c r="AD33" s="1089">
        <f>SUM(T33:AC33)</f>
        <v>0</v>
      </c>
      <c r="AE33" s="1089"/>
      <c r="AF33" s="1089"/>
      <c r="AG33" s="1089"/>
      <c r="AH33" s="1089"/>
      <c r="AI33" s="1089"/>
    </row>
    <row r="34" spans="2:35" ht="18" customHeight="1">
      <c r="B34" s="1084"/>
      <c r="C34" s="1085"/>
      <c r="D34" s="1085"/>
      <c r="E34" s="1085"/>
      <c r="F34" s="1085"/>
      <c r="G34" s="1086"/>
      <c r="H34" s="1090" t="s">
        <v>931</v>
      </c>
      <c r="I34" s="1091"/>
      <c r="J34" s="1091"/>
      <c r="K34" s="1091"/>
      <c r="L34" s="1091"/>
      <c r="M34" s="1091"/>
      <c r="N34" s="1091"/>
      <c r="O34" s="1091"/>
      <c r="P34" s="1091"/>
      <c r="Q34" s="1091"/>
      <c r="R34" s="1091"/>
      <c r="S34" s="1092"/>
      <c r="T34" s="1093"/>
      <c r="U34" s="1094"/>
      <c r="V34" s="1094"/>
      <c r="W34" s="1094"/>
      <c r="X34" s="1095"/>
      <c r="Y34" s="1093"/>
      <c r="Z34" s="1094"/>
      <c r="AA34" s="1094"/>
      <c r="AB34" s="1094"/>
      <c r="AC34" s="1095"/>
      <c r="AD34" s="1096">
        <f>SUM(T34:AC34)</f>
        <v>0</v>
      </c>
      <c r="AE34" s="1097"/>
      <c r="AF34" s="1097"/>
      <c r="AG34" s="1097"/>
      <c r="AH34" s="1097"/>
      <c r="AI34" s="1098"/>
    </row>
    <row r="35" spans="2:35" ht="18" customHeight="1">
      <c r="B35" s="1076" t="s">
        <v>937</v>
      </c>
      <c r="C35" s="1076"/>
      <c r="D35" s="1076"/>
      <c r="E35" s="1076"/>
      <c r="F35" s="1076"/>
      <c r="G35" s="1076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060">
        <f>+T32-T33-T34</f>
        <v>0</v>
      </c>
      <c r="U35" s="1060"/>
      <c r="V35" s="1060"/>
      <c r="W35" s="1060"/>
      <c r="X35" s="1060"/>
      <c r="Y35" s="1060">
        <f>+Y32-Y33-Y34</f>
        <v>0</v>
      </c>
      <c r="Z35" s="1060"/>
      <c r="AA35" s="1060"/>
      <c r="AB35" s="1060"/>
      <c r="AC35" s="1060"/>
      <c r="AD35" s="1060">
        <f>+AD32-AD33-AD34</f>
        <v>0</v>
      </c>
      <c r="AE35" s="1060"/>
      <c r="AF35" s="1060"/>
      <c r="AG35" s="1060"/>
      <c r="AH35" s="1060"/>
      <c r="AI35" s="1060"/>
    </row>
    <row r="36" spans="2:35" s="645" customFormat="1" ht="12">
      <c r="B36" s="1103"/>
      <c r="C36" s="1103"/>
      <c r="AI36" s="781"/>
    </row>
    <row r="37" spans="2:35" ht="18" customHeight="1">
      <c r="B37" s="799" t="s">
        <v>917</v>
      </c>
      <c r="E37" s="645"/>
      <c r="S37" s="670"/>
      <c r="T37" s="670"/>
    </row>
    <row r="38" spans="2:35" ht="14.25">
      <c r="B38" s="802" t="s">
        <v>929</v>
      </c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5"/>
      <c r="R38" s="785"/>
      <c r="S38" s="802" t="s">
        <v>930</v>
      </c>
      <c r="T38" s="803"/>
      <c r="U38" s="784"/>
      <c r="V38" s="784"/>
      <c r="W38" s="784"/>
      <c r="X38" s="784"/>
      <c r="Y38" s="784"/>
      <c r="Z38" s="784"/>
      <c r="AA38" s="784"/>
      <c r="AB38" s="784"/>
      <c r="AC38" s="784"/>
      <c r="AD38" s="784"/>
      <c r="AE38" s="784"/>
      <c r="AF38" s="784"/>
      <c r="AG38" s="784"/>
      <c r="AH38" s="784"/>
    </row>
    <row r="39" spans="2:35" s="645" customFormat="1" ht="12">
      <c r="C39" s="784"/>
      <c r="D39" s="784"/>
      <c r="E39" s="784"/>
      <c r="F39" s="784"/>
      <c r="G39" s="784"/>
      <c r="H39" s="784"/>
      <c r="I39" s="784"/>
      <c r="J39" s="784"/>
      <c r="K39" s="784"/>
      <c r="L39" s="784"/>
      <c r="M39" s="784"/>
      <c r="N39" s="784"/>
      <c r="O39" s="784"/>
      <c r="P39" s="784"/>
      <c r="Q39" s="785"/>
      <c r="R39" s="785"/>
      <c r="T39" s="784"/>
      <c r="U39" s="784"/>
      <c r="V39" s="784"/>
      <c r="W39" s="784"/>
      <c r="X39" s="784"/>
      <c r="Y39" s="784"/>
      <c r="Z39" s="784"/>
      <c r="AA39" s="784"/>
      <c r="AB39" s="784"/>
      <c r="AC39" s="784"/>
      <c r="AD39" s="784"/>
      <c r="AE39" s="784"/>
      <c r="AF39" s="784"/>
      <c r="AG39" s="784"/>
      <c r="AH39" s="784"/>
    </row>
    <row r="40" spans="2:35" ht="13.5">
      <c r="B40" s="855" t="s">
        <v>933</v>
      </c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5"/>
      <c r="R40" s="785"/>
      <c r="S40" s="855" t="s">
        <v>933</v>
      </c>
      <c r="T40" s="784"/>
      <c r="U40" s="784"/>
      <c r="V40" s="784"/>
      <c r="W40" s="784"/>
      <c r="X40" s="784"/>
      <c r="Y40" s="784"/>
      <c r="Z40" s="784"/>
      <c r="AA40" s="784"/>
      <c r="AB40" s="784"/>
      <c r="AC40" s="784"/>
      <c r="AD40" s="784"/>
      <c r="AE40" s="784"/>
      <c r="AF40" s="784"/>
      <c r="AG40" s="784"/>
      <c r="AH40" s="784"/>
    </row>
    <row r="41" spans="2:35" ht="18" customHeight="1">
      <c r="B41" s="1099">
        <v>3000000</v>
      </c>
      <c r="C41" s="1100"/>
      <c r="D41" s="1100"/>
      <c r="E41" s="1100"/>
      <c r="F41" s="1101"/>
      <c r="Q41" s="308"/>
      <c r="R41" s="308"/>
      <c r="S41" s="1099">
        <v>3000000</v>
      </c>
      <c r="T41" s="1100"/>
      <c r="U41" s="1100"/>
      <c r="V41" s="1100"/>
      <c r="W41" s="1101"/>
    </row>
    <row r="42" spans="2:35" ht="9" customHeight="1">
      <c r="B42" s="786"/>
      <c r="C42" s="786"/>
      <c r="D42" s="786"/>
      <c r="E42" s="786"/>
      <c r="F42" s="786"/>
      <c r="Q42" s="308"/>
      <c r="R42" s="308"/>
      <c r="S42" s="786"/>
      <c r="T42" s="786"/>
      <c r="U42" s="786"/>
      <c r="V42" s="786"/>
      <c r="W42" s="786"/>
    </row>
    <row r="43" spans="2:35" s="780" customFormat="1" ht="18" customHeight="1">
      <c r="B43" s="855" t="s">
        <v>938</v>
      </c>
      <c r="Q43" s="787"/>
      <c r="R43" s="787"/>
      <c r="S43" s="856" t="s">
        <v>940</v>
      </c>
    </row>
    <row r="44" spans="2:35" ht="18" customHeight="1">
      <c r="B44" s="1099">
        <f>AD18</f>
        <v>0</v>
      </c>
      <c r="C44" s="1100"/>
      <c r="D44" s="1100"/>
      <c r="E44" s="1100"/>
      <c r="F44" s="1101"/>
      <c r="G44" s="804" t="s">
        <v>608</v>
      </c>
      <c r="H44" s="1104">
        <v>0.33333333333333331</v>
      </c>
      <c r="I44" s="1105"/>
      <c r="J44" s="1106"/>
      <c r="K44" s="804" t="s">
        <v>609</v>
      </c>
      <c r="L44" s="1099">
        <f>ROUNDDOWN(B44*H44,-4)</f>
        <v>0</v>
      </c>
      <c r="M44" s="1100"/>
      <c r="N44" s="1100"/>
      <c r="O44" s="1100"/>
      <c r="P44" s="1101"/>
      <c r="Q44" s="308"/>
      <c r="R44" s="308"/>
      <c r="S44" s="1099">
        <f>AD35</f>
        <v>0</v>
      </c>
      <c r="T44" s="1100"/>
      <c r="U44" s="1100"/>
      <c r="V44" s="1100"/>
      <c r="W44" s="1101"/>
      <c r="X44" s="805" t="s">
        <v>608</v>
      </c>
      <c r="Y44" s="1104">
        <v>0.25</v>
      </c>
      <c r="Z44" s="1105"/>
      <c r="AA44" s="1106"/>
      <c r="AB44" s="806" t="s">
        <v>609</v>
      </c>
      <c r="AC44" s="1099">
        <f>ROUNDDOWN(S44*Y44,-4)</f>
        <v>0</v>
      </c>
      <c r="AD44" s="1100"/>
      <c r="AE44" s="1100"/>
      <c r="AF44" s="1100"/>
      <c r="AG44" s="1101"/>
    </row>
    <row r="45" spans="2:35" s="795" customFormat="1" ht="12">
      <c r="B45" s="1024" t="s">
        <v>944</v>
      </c>
      <c r="C45" s="1024"/>
      <c r="D45" s="1024"/>
      <c r="E45" s="1024"/>
      <c r="F45" s="1024"/>
      <c r="G45" s="789"/>
      <c r="H45" s="790"/>
      <c r="I45" s="790"/>
      <c r="J45" s="790"/>
      <c r="K45" s="791"/>
      <c r="L45" s="792"/>
      <c r="M45" s="792"/>
      <c r="N45" s="792"/>
      <c r="O45" s="792"/>
      <c r="P45" s="792"/>
      <c r="Q45" s="793"/>
      <c r="R45" s="793"/>
      <c r="S45" s="1024" t="s">
        <v>945</v>
      </c>
      <c r="T45" s="1024"/>
      <c r="U45" s="1024"/>
      <c r="V45" s="1024"/>
      <c r="W45" s="1024"/>
      <c r="X45" s="794"/>
      <c r="Y45" s="790"/>
      <c r="Z45" s="790"/>
      <c r="AA45" s="790"/>
      <c r="AB45" s="791"/>
      <c r="AC45" s="792"/>
      <c r="AD45" s="792"/>
      <c r="AE45" s="792"/>
      <c r="AF45" s="792"/>
      <c r="AG45" s="792"/>
    </row>
    <row r="46" spans="2:35" ht="9" customHeight="1">
      <c r="B46" s="786"/>
      <c r="C46" s="786"/>
      <c r="D46" s="786"/>
      <c r="E46" s="786"/>
      <c r="F46" s="786"/>
      <c r="G46" s="788"/>
      <c r="H46" s="796"/>
      <c r="I46" s="796"/>
      <c r="J46" s="796"/>
      <c r="K46" s="797"/>
      <c r="L46" s="786"/>
      <c r="M46" s="786"/>
      <c r="N46" s="786"/>
      <c r="O46" s="786"/>
      <c r="P46" s="786"/>
      <c r="Q46" s="308"/>
      <c r="R46" s="308"/>
      <c r="S46" s="786"/>
      <c r="T46" s="786"/>
      <c r="U46" s="786"/>
      <c r="V46" s="786"/>
      <c r="W46" s="786"/>
      <c r="X46" s="798"/>
      <c r="Y46" s="796"/>
      <c r="Z46" s="796"/>
      <c r="AA46" s="796"/>
      <c r="AB46" s="797"/>
      <c r="AC46" s="786"/>
      <c r="AD46" s="786"/>
      <c r="AE46" s="786"/>
      <c r="AF46" s="786"/>
      <c r="AG46" s="786"/>
    </row>
    <row r="47" spans="2:35" s="780" customFormat="1" ht="18" customHeight="1" thickBot="1">
      <c r="B47" s="855" t="s">
        <v>939</v>
      </c>
      <c r="Q47" s="787"/>
      <c r="R47" s="787"/>
      <c r="S47" s="856" t="s">
        <v>941</v>
      </c>
    </row>
    <row r="48" spans="2:35" ht="18" customHeight="1" thickBot="1">
      <c r="B48" s="1113">
        <f>MIN(B41,L44)</f>
        <v>0</v>
      </c>
      <c r="C48" s="1114"/>
      <c r="D48" s="1114"/>
      <c r="E48" s="1114"/>
      <c r="F48" s="1114"/>
      <c r="G48" s="1115"/>
      <c r="Q48" s="308"/>
      <c r="R48" s="308"/>
      <c r="S48" s="1110">
        <f>AD18/2</f>
        <v>0</v>
      </c>
      <c r="T48" s="1111"/>
      <c r="U48" s="1111"/>
      <c r="V48" s="1111"/>
      <c r="W48" s="1112"/>
      <c r="X48" s="807" t="s">
        <v>943</v>
      </c>
      <c r="Y48" s="1110">
        <f>AD33+AD34</f>
        <v>0</v>
      </c>
      <c r="Z48" s="1111"/>
      <c r="AA48" s="1111"/>
      <c r="AB48" s="1111"/>
      <c r="AC48" s="1112"/>
      <c r="AD48" s="808" t="s">
        <v>609</v>
      </c>
      <c r="AE48" s="1110">
        <f>IF((+S48-Y48)&gt;0,ROUNDDOWN(+S48-Y48,-4),0)</f>
        <v>0</v>
      </c>
      <c r="AF48" s="1111"/>
      <c r="AG48" s="1111"/>
      <c r="AH48" s="1111"/>
      <c r="AI48" s="1112"/>
    </row>
    <row r="49" spans="2:29" s="795" customFormat="1" ht="12">
      <c r="B49" s="1025" t="s">
        <v>946</v>
      </c>
      <c r="C49" s="1026"/>
      <c r="D49" s="1026"/>
      <c r="E49" s="1026"/>
      <c r="F49" s="1026"/>
      <c r="G49" s="1026"/>
      <c r="Q49" s="793"/>
      <c r="R49" s="793"/>
      <c r="S49" s="1027" t="s">
        <v>947</v>
      </c>
      <c r="T49" s="1027"/>
      <c r="U49" s="1027"/>
      <c r="V49" s="1027"/>
      <c r="W49" s="1027"/>
      <c r="Y49" s="1027" t="s">
        <v>948</v>
      </c>
      <c r="Z49" s="1027"/>
      <c r="AA49" s="1027"/>
      <c r="AB49" s="1027"/>
      <c r="AC49" s="1027"/>
    </row>
    <row r="50" spans="2:29" ht="9" customHeight="1">
      <c r="B50" s="786"/>
      <c r="C50" s="786"/>
      <c r="D50" s="786"/>
      <c r="E50" s="786"/>
      <c r="F50" s="786"/>
      <c r="G50" s="786"/>
      <c r="Q50" s="308"/>
      <c r="R50" s="308"/>
    </row>
    <row r="51" spans="2:29" s="780" customFormat="1" ht="18" customHeight="1" thickBot="1">
      <c r="Q51" s="787"/>
      <c r="R51" s="787"/>
      <c r="S51" s="855" t="s">
        <v>942</v>
      </c>
    </row>
    <row r="52" spans="2:29" ht="18" customHeight="1" thickBot="1">
      <c r="Q52" s="308"/>
      <c r="R52" s="308"/>
      <c r="S52" s="1107">
        <f>MIN(S41,AC44,AE48)</f>
        <v>0</v>
      </c>
      <c r="T52" s="1108"/>
      <c r="U52" s="1108"/>
      <c r="V52" s="1108"/>
      <c r="W52" s="1108"/>
      <c r="X52" s="1109"/>
    </row>
    <row r="53" spans="2:29" ht="13.5">
      <c r="Q53" s="308"/>
      <c r="R53" s="308"/>
      <c r="S53" s="1019" t="s">
        <v>949</v>
      </c>
      <c r="T53" s="1019"/>
      <c r="U53" s="1019"/>
      <c r="V53" s="1019"/>
      <c r="W53" s="1019"/>
      <c r="X53" s="1019"/>
    </row>
    <row r="54" spans="2:29" ht="18" customHeight="1">
      <c r="Q54" s="308"/>
      <c r="R54" s="308"/>
    </row>
    <row r="55" spans="2:29" ht="18" customHeight="1">
      <c r="Q55" s="308"/>
      <c r="R55" s="308"/>
    </row>
    <row r="56" spans="2:29" ht="18" customHeight="1">
      <c r="R56" s="308"/>
    </row>
    <row r="57" spans="2:29" ht="18" customHeight="1">
      <c r="R57" s="308"/>
    </row>
    <row r="58" spans="2:29" ht="18" customHeight="1">
      <c r="R58" s="308"/>
    </row>
    <row r="59" spans="2:29" ht="18" customHeight="1">
      <c r="R59" s="308"/>
    </row>
  </sheetData>
  <sheetProtection password="D73A" sheet="1" formatCells="0"/>
  <mergeCells count="162">
    <mergeCell ref="S52:X52"/>
    <mergeCell ref="L44:P44"/>
    <mergeCell ref="S44:W44"/>
    <mergeCell ref="AC44:AG44"/>
    <mergeCell ref="S48:W48"/>
    <mergeCell ref="Y48:AC48"/>
    <mergeCell ref="AE48:AI48"/>
    <mergeCell ref="B48:G48"/>
    <mergeCell ref="Y44:AA44"/>
    <mergeCell ref="B41:F41"/>
    <mergeCell ref="B44:F44"/>
    <mergeCell ref="S41:W41"/>
    <mergeCell ref="B35:G35"/>
    <mergeCell ref="H35:S35"/>
    <mergeCell ref="T35:X35"/>
    <mergeCell ref="Y35:AC35"/>
    <mergeCell ref="AD35:AI35"/>
    <mergeCell ref="B36:C36"/>
    <mergeCell ref="H44:J44"/>
    <mergeCell ref="B33:G34"/>
    <mergeCell ref="H33:S33"/>
    <mergeCell ref="T33:X33"/>
    <mergeCell ref="Y33:AC33"/>
    <mergeCell ref="AD33:AI33"/>
    <mergeCell ref="H34:S34"/>
    <mergeCell ref="T34:X34"/>
    <mergeCell ref="Y34:AC34"/>
    <mergeCell ref="AD34:AI34"/>
    <mergeCell ref="B27:L27"/>
    <mergeCell ref="M27:AC27"/>
    <mergeCell ref="AD27:AI27"/>
    <mergeCell ref="B19:B25"/>
    <mergeCell ref="B32:G32"/>
    <mergeCell ref="H32:S32"/>
    <mergeCell ref="T32:X32"/>
    <mergeCell ref="Y32:AC32"/>
    <mergeCell ref="AD32:AI32"/>
    <mergeCell ref="C19:L19"/>
    <mergeCell ref="M19:Q19"/>
    <mergeCell ref="R19:S19"/>
    <mergeCell ref="T19:X19"/>
    <mergeCell ref="Y19:AC19"/>
    <mergeCell ref="C25:L25"/>
    <mergeCell ref="M25:Q25"/>
    <mergeCell ref="Y22:AC22"/>
    <mergeCell ref="AD22:AI22"/>
    <mergeCell ref="C21:L21"/>
    <mergeCell ref="M21:Q21"/>
    <mergeCell ref="R21:S21"/>
    <mergeCell ref="T21:X21"/>
    <mergeCell ref="R25:S25"/>
    <mergeCell ref="T25:X25"/>
    <mergeCell ref="AD18:AI18"/>
    <mergeCell ref="AD19:AI19"/>
    <mergeCell ref="AD16:AI16"/>
    <mergeCell ref="Y16:AC16"/>
    <mergeCell ref="AD21:AI21"/>
    <mergeCell ref="B31:G31"/>
    <mergeCell ref="H31:S31"/>
    <mergeCell ref="T31:X31"/>
    <mergeCell ref="Y31:AC31"/>
    <mergeCell ref="AD31:AI31"/>
    <mergeCell ref="AD23:AI23"/>
    <mergeCell ref="AD25:AI25"/>
    <mergeCell ref="C24:L24"/>
    <mergeCell ref="M24:Q24"/>
    <mergeCell ref="R24:S24"/>
    <mergeCell ref="T24:X24"/>
    <mergeCell ref="Y24:AC24"/>
    <mergeCell ref="AD24:AI24"/>
    <mergeCell ref="B28:L28"/>
    <mergeCell ref="M28:AC28"/>
    <mergeCell ref="AD28:AI28"/>
    <mergeCell ref="B26:L26"/>
    <mergeCell ref="M26:AC26"/>
    <mergeCell ref="AD26:AI26"/>
    <mergeCell ref="Y25:AC25"/>
    <mergeCell ref="C22:L22"/>
    <mergeCell ref="M22:Q22"/>
    <mergeCell ref="R22:S22"/>
    <mergeCell ref="T22:X22"/>
    <mergeCell ref="AD20:AI20"/>
    <mergeCell ref="C23:L23"/>
    <mergeCell ref="M23:Q23"/>
    <mergeCell ref="R23:S23"/>
    <mergeCell ref="T23:X23"/>
    <mergeCell ref="Y23:AC23"/>
    <mergeCell ref="Y21:AC21"/>
    <mergeCell ref="C20:L20"/>
    <mergeCell ref="M20:Q20"/>
    <mergeCell ref="R20:S20"/>
    <mergeCell ref="T20:X20"/>
    <mergeCell ref="Y20:AC20"/>
    <mergeCell ref="AD12:AI12"/>
    <mergeCell ref="C17:L17"/>
    <mergeCell ref="M17:Q17"/>
    <mergeCell ref="R17:S17"/>
    <mergeCell ref="T17:X17"/>
    <mergeCell ref="Y17:AC17"/>
    <mergeCell ref="AD17:AI17"/>
    <mergeCell ref="C13:L13"/>
    <mergeCell ref="C14:L14"/>
    <mergeCell ref="C15:L15"/>
    <mergeCell ref="C16:L16"/>
    <mergeCell ref="M13:Q13"/>
    <mergeCell ref="M14:Q14"/>
    <mergeCell ref="M15:Q15"/>
    <mergeCell ref="M16:Q16"/>
    <mergeCell ref="R13:S13"/>
    <mergeCell ref="R14:S14"/>
    <mergeCell ref="AD13:AI13"/>
    <mergeCell ref="AD14:AI14"/>
    <mergeCell ref="AD15:AI15"/>
    <mergeCell ref="Y13:AC13"/>
    <mergeCell ref="Y14:AC14"/>
    <mergeCell ref="Y15:AC15"/>
    <mergeCell ref="B10:B18"/>
    <mergeCell ref="C10:L10"/>
    <mergeCell ref="M10:Q10"/>
    <mergeCell ref="R10:S10"/>
    <mergeCell ref="T10:X10"/>
    <mergeCell ref="Y10:AC10"/>
    <mergeCell ref="C12:L12"/>
    <mergeCell ref="M12:Q12"/>
    <mergeCell ref="R12:S12"/>
    <mergeCell ref="T12:X12"/>
    <mergeCell ref="R16:S16"/>
    <mergeCell ref="R15:S15"/>
    <mergeCell ref="T16:X16"/>
    <mergeCell ref="T13:X13"/>
    <mergeCell ref="T14:X14"/>
    <mergeCell ref="T15:X15"/>
    <mergeCell ref="Y12:AC12"/>
    <mergeCell ref="C18:L18"/>
    <mergeCell ref="M18:Q18"/>
    <mergeCell ref="R18:S18"/>
    <mergeCell ref="T18:X18"/>
    <mergeCell ref="Y18:AC18"/>
    <mergeCell ref="S53:X53"/>
    <mergeCell ref="C4:D5"/>
    <mergeCell ref="T4:U5"/>
    <mergeCell ref="E4:Q5"/>
    <mergeCell ref="V4:AH5"/>
    <mergeCell ref="S45:W45"/>
    <mergeCell ref="B45:F45"/>
    <mergeCell ref="B49:G49"/>
    <mergeCell ref="S49:W49"/>
    <mergeCell ref="Y49:AC49"/>
    <mergeCell ref="B8:L9"/>
    <mergeCell ref="M8:X8"/>
    <mergeCell ref="Y8:AC9"/>
    <mergeCell ref="AD8:AI9"/>
    <mergeCell ref="M9:Q9"/>
    <mergeCell ref="R9:S9"/>
    <mergeCell ref="T9:X9"/>
    <mergeCell ref="AD10:AI10"/>
    <mergeCell ref="C11:L11"/>
    <mergeCell ref="M11:Q11"/>
    <mergeCell ref="R11:S11"/>
    <mergeCell ref="T11:X11"/>
    <mergeCell ref="Y11:AC11"/>
    <mergeCell ref="AD11:AI11"/>
  </mergeCells>
  <phoneticPr fontId="1"/>
  <conditionalFormatting sqref="C4:D5">
    <cfRule type="containsBlanks" dxfId="23" priority="8">
      <formula>LEN(TRIM(C4))=0</formula>
    </cfRule>
  </conditionalFormatting>
  <conditionalFormatting sqref="T4:U5">
    <cfRule type="containsBlanks" dxfId="22" priority="7">
      <formula>LEN(TRIM(T4))=0</formula>
    </cfRule>
  </conditionalFormatting>
  <conditionalFormatting sqref="C10:S17">
    <cfRule type="containsBlanks" dxfId="21" priority="6">
      <formula>LEN(TRIM(C10))=0</formula>
    </cfRule>
  </conditionalFormatting>
  <conditionalFormatting sqref="Y10:AC17">
    <cfRule type="containsBlanks" dxfId="20" priority="5">
      <formula>LEN(TRIM(Y10))=0</formula>
    </cfRule>
  </conditionalFormatting>
  <conditionalFormatting sqref="C19:S24">
    <cfRule type="containsBlanks" dxfId="19" priority="4">
      <formula>LEN(TRIM(C19))=0</formula>
    </cfRule>
  </conditionalFormatting>
  <conditionalFormatting sqref="Y19:AC24">
    <cfRule type="containsBlanks" dxfId="18" priority="3">
      <formula>LEN(TRIM(Y19))=0</formula>
    </cfRule>
  </conditionalFormatting>
  <conditionalFormatting sqref="T33:AC34">
    <cfRule type="containsBlanks" dxfId="17" priority="2">
      <formula>LEN(TRIM(T33))=0</formula>
    </cfRule>
  </conditionalFormatting>
  <conditionalFormatting sqref="H32:S32">
    <cfRule type="containsBlanks" dxfId="16" priority="1">
      <formula>LEN(TRIM(H32))=0</formula>
    </cfRule>
  </conditionalFormatting>
  <dataValidations count="1">
    <dataValidation type="list" allowBlank="1" showInputMessage="1" showErrorMessage="1" sqref="C4:D5 T4:U5">
      <formula1>"○"</formula1>
    </dataValidation>
  </dataValidations>
  <printOptions horizontalCentered="1"/>
  <pageMargins left="0.59055118110236227" right="0.22" top="0.59055118110236227" bottom="0.28000000000000003" header="0.19685039370078741" footer="0.19685039370078741"/>
  <pageSetup paperSize="9" scale="99" orientation="portrait" r:id="rId1"/>
  <headerFooter>
    <oddHeader>&amp;L&amp;"ＭＳ ゴシック,標準"様式第１３号（第１６条関係）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0000"/>
  </sheetPr>
  <dimension ref="A1:X174"/>
  <sheetViews>
    <sheetView showGridLines="0" view="pageBreakPreview" topLeftCell="A72" zoomScaleNormal="100" zoomScaleSheetLayoutView="100" workbookViewId="0">
      <selection activeCell="AO35" sqref="AO35"/>
    </sheetView>
  </sheetViews>
  <sheetFormatPr defaultColWidth="9" defaultRowHeight="14.25"/>
  <cols>
    <col min="1" max="1" width="3.25" style="340" customWidth="1"/>
    <col min="2" max="2" width="14.875" style="340" customWidth="1"/>
    <col min="3" max="3" width="8.75" style="340" customWidth="1"/>
    <col min="4" max="4" width="10" style="340" customWidth="1"/>
    <col min="5" max="5" width="9.75" style="340" customWidth="1"/>
    <col min="6" max="6" width="8.5" style="340" customWidth="1"/>
    <col min="7" max="8" width="9" style="340"/>
    <col min="9" max="9" width="7.75" style="340" customWidth="1"/>
    <col min="10" max="11" width="8.25" style="340" customWidth="1"/>
    <col min="12" max="12" width="5.625" style="340" customWidth="1"/>
    <col min="13" max="24" width="9" style="340" hidden="1" customWidth="1"/>
    <col min="25" max="30" width="9" style="340" customWidth="1"/>
    <col min="31" max="16384" width="9" style="340"/>
  </cols>
  <sheetData>
    <row r="1" spans="1:12" ht="18">
      <c r="A1" s="1128" t="s">
        <v>661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</row>
    <row r="2" spans="1:12" ht="15">
      <c r="B2" s="341"/>
    </row>
    <row r="3" spans="1:12" s="342" customFormat="1">
      <c r="B3" s="342" t="s">
        <v>662</v>
      </c>
    </row>
    <row r="4" spans="1:12" s="342" customFormat="1">
      <c r="B4" s="342" t="s">
        <v>663</v>
      </c>
    </row>
    <row r="5" spans="1:12" s="342" customFormat="1"/>
    <row r="6" spans="1:12" s="342" customFormat="1" ht="18">
      <c r="A6" s="343" t="s">
        <v>664</v>
      </c>
    </row>
    <row r="7" spans="1:12" s="342" customFormat="1" ht="18">
      <c r="A7" s="343"/>
      <c r="H7" s="344" t="s">
        <v>665</v>
      </c>
      <c r="I7" s="1139" t="s">
        <v>951</v>
      </c>
      <c r="J7" s="1140"/>
      <c r="K7" s="1141"/>
    </row>
    <row r="8" spans="1:12" s="342" customFormat="1" ht="16.149999999999999" customHeight="1">
      <c r="A8" s="345">
        <v>1</v>
      </c>
      <c r="B8" s="345" t="s">
        <v>666</v>
      </c>
      <c r="C8" s="1135"/>
      <c r="D8" s="1135"/>
      <c r="E8" s="1135"/>
      <c r="F8" s="1135"/>
      <c r="G8" s="1135"/>
      <c r="H8" s="1135"/>
      <c r="I8" s="1135"/>
      <c r="J8" s="1135"/>
      <c r="K8" s="1135"/>
    </row>
    <row r="9" spans="1:12" s="342" customFormat="1" ht="16.149999999999999" customHeight="1">
      <c r="B9" s="345" t="s">
        <v>667</v>
      </c>
      <c r="C9" s="346" t="s">
        <v>668</v>
      </c>
      <c r="D9" s="1140"/>
      <c r="E9" s="1141"/>
      <c r="F9" s="347"/>
      <c r="G9" s="348" t="s">
        <v>669</v>
      </c>
      <c r="H9" s="1148"/>
      <c r="I9" s="1149"/>
      <c r="J9" s="1149"/>
      <c r="K9" s="1150"/>
    </row>
    <row r="10" spans="1:12" s="342" customFormat="1" ht="16.149999999999999" hidden="1" customHeight="1">
      <c r="B10" s="345" t="s">
        <v>670</v>
      </c>
      <c r="C10" s="1142"/>
      <c r="D10" s="1140"/>
      <c r="E10" s="1140"/>
      <c r="F10" s="1143"/>
      <c r="G10" s="1143"/>
      <c r="H10" s="1143"/>
      <c r="I10" s="1143"/>
      <c r="J10" s="1143"/>
      <c r="K10" s="1143"/>
    </row>
    <row r="11" spans="1:12" s="342" customFormat="1" ht="16.149999999999999" hidden="1" customHeight="1">
      <c r="C11" s="349"/>
      <c r="D11" s="350"/>
      <c r="E11" s="350"/>
      <c r="F11" s="350"/>
      <c r="G11" s="350"/>
      <c r="H11" s="350"/>
      <c r="I11" s="350"/>
      <c r="J11" s="350"/>
      <c r="K11" s="351"/>
    </row>
    <row r="12" spans="1:12" s="342" customFormat="1" ht="16.149999999999999" hidden="1" customHeight="1">
      <c r="B12" s="345" t="s">
        <v>671</v>
      </c>
      <c r="C12" s="1135"/>
      <c r="D12" s="1135"/>
      <c r="E12" s="1135"/>
      <c r="F12" s="1135"/>
      <c r="G12" s="1135"/>
      <c r="H12" s="1135"/>
      <c r="I12" s="1135"/>
      <c r="J12" s="1135"/>
      <c r="K12" s="1135"/>
    </row>
    <row r="13" spans="1:12" s="342" customFormat="1"/>
    <row r="14" spans="1:12" ht="15">
      <c r="A14" s="341">
        <v>2</v>
      </c>
      <c r="B14" s="341" t="s">
        <v>672</v>
      </c>
      <c r="F14" s="352"/>
      <c r="G14" s="352"/>
      <c r="H14" s="352"/>
      <c r="I14" s="352"/>
    </row>
    <row r="15" spans="1:12">
      <c r="B15" s="340" t="s">
        <v>673</v>
      </c>
      <c r="F15" s="352"/>
      <c r="G15" s="352"/>
      <c r="H15" s="352"/>
      <c r="I15" s="352"/>
    </row>
    <row r="16" spans="1:12" ht="15">
      <c r="B16" s="433" t="s">
        <v>814</v>
      </c>
      <c r="C16" s="431"/>
      <c r="D16" s="431"/>
      <c r="E16" s="432"/>
      <c r="F16" s="352"/>
      <c r="G16" s="352"/>
      <c r="H16" s="352"/>
      <c r="I16" s="352"/>
    </row>
    <row r="17" spans="1:11">
      <c r="B17" s="353" t="s">
        <v>674</v>
      </c>
      <c r="C17" s="1144">
        <v>0</v>
      </c>
      <c r="D17" s="1145"/>
      <c r="E17" s="340" t="s">
        <v>675</v>
      </c>
      <c r="F17" s="352"/>
      <c r="G17" s="352"/>
      <c r="H17" s="352"/>
      <c r="I17" s="352"/>
    </row>
    <row r="18" spans="1:11">
      <c r="G18" s="352"/>
      <c r="H18" s="352"/>
      <c r="I18" s="352"/>
    </row>
    <row r="19" spans="1:11" ht="15">
      <c r="A19" s="341">
        <v>3</v>
      </c>
      <c r="B19" s="341" t="s">
        <v>676</v>
      </c>
      <c r="G19" s="352"/>
      <c r="H19" s="352"/>
      <c r="I19" s="352"/>
    </row>
    <row r="20" spans="1:11">
      <c r="B20" s="340" t="s">
        <v>677</v>
      </c>
      <c r="G20" s="352"/>
      <c r="H20" s="352"/>
      <c r="I20" s="352"/>
    </row>
    <row r="21" spans="1:11">
      <c r="B21" s="342" t="s">
        <v>678</v>
      </c>
      <c r="G21" s="352"/>
      <c r="H21" s="352"/>
      <c r="I21" s="352"/>
    </row>
    <row r="22" spans="1:11">
      <c r="B22" s="353" t="s">
        <v>679</v>
      </c>
      <c r="C22" s="354">
        <v>3.55</v>
      </c>
      <c r="H22" s="352"/>
      <c r="I22" s="352"/>
    </row>
    <row r="23" spans="1:11">
      <c r="B23" s="353" t="s">
        <v>680</v>
      </c>
      <c r="C23" s="354">
        <v>3.95</v>
      </c>
      <c r="H23" s="352"/>
      <c r="I23" s="352"/>
    </row>
    <row r="24" spans="1:11">
      <c r="G24" s="352"/>
      <c r="H24" s="352"/>
      <c r="I24" s="352"/>
    </row>
    <row r="25" spans="1:11" ht="15">
      <c r="A25" s="341">
        <v>4</v>
      </c>
      <c r="B25" s="341" t="s">
        <v>681</v>
      </c>
      <c r="G25" s="352"/>
      <c r="H25" s="352"/>
      <c r="I25" s="352"/>
    </row>
    <row r="26" spans="1:11">
      <c r="B26" s="1146" t="s">
        <v>682</v>
      </c>
      <c r="C26" s="1146"/>
      <c r="D26" s="1147"/>
      <c r="E26" s="355"/>
      <c r="F26" s="340" t="s">
        <v>683</v>
      </c>
      <c r="G26" s="352"/>
      <c r="H26" s="352"/>
      <c r="I26" s="352"/>
    </row>
    <row r="27" spans="1:11">
      <c r="B27" s="1146" t="s">
        <v>684</v>
      </c>
      <c r="C27" s="1146"/>
      <c r="D27" s="1147"/>
      <c r="E27" s="355"/>
      <c r="F27" s="340" t="s">
        <v>685</v>
      </c>
      <c r="G27" s="352"/>
      <c r="H27" s="352"/>
      <c r="I27" s="352"/>
    </row>
    <row r="28" spans="1:11">
      <c r="B28" s="1146" t="s">
        <v>686</v>
      </c>
      <c r="C28" s="1146"/>
      <c r="D28" s="1147"/>
      <c r="E28" s="356">
        <f>E27*E26</f>
        <v>0</v>
      </c>
      <c r="F28" s="340" t="s">
        <v>687</v>
      </c>
      <c r="G28" s="352"/>
      <c r="H28" s="352"/>
      <c r="I28" s="352"/>
    </row>
    <row r="29" spans="1:11">
      <c r="G29" s="352"/>
      <c r="H29" s="352"/>
      <c r="I29" s="352"/>
    </row>
    <row r="30" spans="1:11" ht="18">
      <c r="A30" s="343" t="s">
        <v>688</v>
      </c>
      <c r="B30" s="357"/>
    </row>
    <row r="31" spans="1:11" ht="15" customHeight="1">
      <c r="A31" s="358">
        <v>1</v>
      </c>
      <c r="B31" s="345" t="s">
        <v>689</v>
      </c>
    </row>
    <row r="32" spans="1:11" ht="18">
      <c r="A32" s="359"/>
      <c r="B32" s="360"/>
      <c r="C32" s="361"/>
      <c r="D32" s="361"/>
      <c r="E32" s="361"/>
      <c r="F32" s="361"/>
      <c r="G32" s="361"/>
      <c r="H32" s="361"/>
      <c r="I32" s="361"/>
      <c r="J32" s="361"/>
      <c r="K32" s="361"/>
    </row>
    <row r="33" spans="1:18" ht="18">
      <c r="A33" s="343"/>
      <c r="B33" s="357"/>
      <c r="P33" s="362" t="b">
        <v>0</v>
      </c>
      <c r="Q33" s="340" t="str">
        <f>IF(P33=TRUE,"屋根","")</f>
        <v/>
      </c>
    </row>
    <row r="34" spans="1:18" ht="15">
      <c r="A34" s="341">
        <v>2</v>
      </c>
      <c r="B34" s="341" t="s">
        <v>690</v>
      </c>
      <c r="P34" s="362" t="b">
        <v>0</v>
      </c>
      <c r="Q34" s="340" t="str">
        <f>IF(P34=TRUE,"外壁断熱","")</f>
        <v/>
      </c>
    </row>
    <row r="35" spans="1:18">
      <c r="B35" s="342" t="s">
        <v>691</v>
      </c>
      <c r="P35" s="362" t="b">
        <v>0</v>
      </c>
      <c r="Q35" s="340" t="str">
        <f>IF(P35=TRUE,"外壁遮熱","")</f>
        <v/>
      </c>
    </row>
    <row r="36" spans="1:18">
      <c r="B36" s="342" t="s">
        <v>692</v>
      </c>
      <c r="P36" s="362" t="b">
        <v>0</v>
      </c>
      <c r="Q36" s="340" t="str">
        <f>IF(P36=TRUE,"窓断熱","")</f>
        <v/>
      </c>
    </row>
    <row r="37" spans="1:18" ht="15">
      <c r="B37" s="1131" t="s">
        <v>693</v>
      </c>
      <c r="C37" s="1131"/>
      <c r="D37" s="1131"/>
      <c r="E37" s="1131"/>
      <c r="P37" s="362" t="b">
        <v>0</v>
      </c>
      <c r="Q37" s="340" t="str">
        <f>IF(P37=TRUE,"窓遮熱","")</f>
        <v/>
      </c>
      <c r="R37" s="340" t="str">
        <f>Q33&amp;"　"&amp;Q34&amp;"　"&amp;Q35&amp;"  "&amp;Q36&amp;"  "&amp;Q37</f>
        <v xml:space="preserve">　　    </v>
      </c>
    </row>
    <row r="38" spans="1:18" ht="17.25" thickBot="1">
      <c r="B38" s="352" t="s">
        <v>694</v>
      </c>
      <c r="C38" s="352" t="s">
        <v>695</v>
      </c>
      <c r="D38" s="363" t="s">
        <v>696</v>
      </c>
    </row>
    <row r="39" spans="1:18" ht="15" thickBot="1">
      <c r="B39" s="364" t="s">
        <v>697</v>
      </c>
      <c r="C39" s="365" t="s">
        <v>698</v>
      </c>
      <c r="D39" s="682">
        <v>0</v>
      </c>
      <c r="G39" s="352"/>
      <c r="N39" s="340">
        <f>IF(P33=TRUE,D39,0)</f>
        <v>0</v>
      </c>
    </row>
    <row r="40" spans="1:18" ht="15" thickBot="1">
      <c r="B40" s="1127" t="s">
        <v>699</v>
      </c>
      <c r="C40" s="365" t="s">
        <v>700</v>
      </c>
      <c r="D40" s="682">
        <v>0</v>
      </c>
      <c r="N40" s="340">
        <f>IF(P$34=TRUE,D40,IF(P$35=TRUE,D40,0))</f>
        <v>0</v>
      </c>
    </row>
    <row r="41" spans="1:18" ht="15" thickBot="1">
      <c r="B41" s="1127"/>
      <c r="C41" s="365" t="s">
        <v>701</v>
      </c>
      <c r="D41" s="682">
        <v>0</v>
      </c>
      <c r="N41" s="340">
        <f t="shared" ref="N41:N47" si="0">IF(P$34=TRUE,D41,IF(P$35=TRUE,D41,0))</f>
        <v>0</v>
      </c>
    </row>
    <row r="42" spans="1:18" ht="15" thickBot="1">
      <c r="B42" s="1127"/>
      <c r="C42" s="365" t="s">
        <v>702</v>
      </c>
      <c r="D42" s="682">
        <v>0</v>
      </c>
      <c r="N42" s="340">
        <f t="shared" si="0"/>
        <v>0</v>
      </c>
    </row>
    <row r="43" spans="1:18" ht="15" thickBot="1">
      <c r="B43" s="1127"/>
      <c r="C43" s="365" t="s">
        <v>703</v>
      </c>
      <c r="D43" s="682">
        <v>0</v>
      </c>
      <c r="N43" s="340">
        <f t="shared" si="0"/>
        <v>0</v>
      </c>
    </row>
    <row r="44" spans="1:18" ht="15" thickBot="1">
      <c r="B44" s="1127"/>
      <c r="C44" s="365" t="s">
        <v>704</v>
      </c>
      <c r="D44" s="682">
        <v>0</v>
      </c>
      <c r="N44" s="340">
        <f t="shared" si="0"/>
        <v>0</v>
      </c>
    </row>
    <row r="45" spans="1:18" ht="15" thickBot="1">
      <c r="B45" s="1127"/>
      <c r="C45" s="365" t="s">
        <v>705</v>
      </c>
      <c r="D45" s="682">
        <v>0</v>
      </c>
      <c r="N45" s="340">
        <f t="shared" si="0"/>
        <v>0</v>
      </c>
    </row>
    <row r="46" spans="1:18" ht="15" thickBot="1">
      <c r="B46" s="1127"/>
      <c r="C46" s="365" t="s">
        <v>706</v>
      </c>
      <c r="D46" s="682">
        <v>0</v>
      </c>
      <c r="E46" s="367"/>
      <c r="N46" s="340">
        <f t="shared" si="0"/>
        <v>0</v>
      </c>
    </row>
    <row r="47" spans="1:18" ht="15" thickBot="1">
      <c r="B47" s="1127"/>
      <c r="C47" s="365" t="s">
        <v>707</v>
      </c>
      <c r="D47" s="682">
        <v>0</v>
      </c>
      <c r="N47" s="340">
        <f t="shared" si="0"/>
        <v>0</v>
      </c>
    </row>
    <row r="48" spans="1:18" ht="15" thickBot="1">
      <c r="B48" s="1127" t="s">
        <v>708</v>
      </c>
      <c r="C48" s="365" t="s">
        <v>700</v>
      </c>
      <c r="D48" s="682">
        <v>0</v>
      </c>
      <c r="N48" s="340">
        <f>IF(P$36=TRUE,D48,0)</f>
        <v>0</v>
      </c>
      <c r="O48" s="340">
        <f>IF(P$37=TRUE,D48,0)</f>
        <v>0</v>
      </c>
    </row>
    <row r="49" spans="1:15" ht="15" thickBot="1">
      <c r="B49" s="1127"/>
      <c r="C49" s="365" t="s">
        <v>701</v>
      </c>
      <c r="D49" s="682">
        <v>0</v>
      </c>
      <c r="N49" s="340">
        <f t="shared" ref="N49:N55" si="1">IF(P$36=TRUE,D49,0)</f>
        <v>0</v>
      </c>
      <c r="O49" s="340">
        <f t="shared" ref="O49:O55" si="2">IF(P$37=TRUE,D49,0)</f>
        <v>0</v>
      </c>
    </row>
    <row r="50" spans="1:15" ht="15" thickBot="1">
      <c r="B50" s="1127"/>
      <c r="C50" s="365" t="s">
        <v>702</v>
      </c>
      <c r="D50" s="682">
        <v>0</v>
      </c>
      <c r="N50" s="340">
        <f t="shared" si="1"/>
        <v>0</v>
      </c>
      <c r="O50" s="340">
        <f t="shared" si="2"/>
        <v>0</v>
      </c>
    </row>
    <row r="51" spans="1:15" ht="15" thickBot="1">
      <c r="B51" s="1127"/>
      <c r="C51" s="365" t="s">
        <v>703</v>
      </c>
      <c r="D51" s="682">
        <v>0</v>
      </c>
      <c r="N51" s="340">
        <f t="shared" si="1"/>
        <v>0</v>
      </c>
      <c r="O51" s="340">
        <f t="shared" si="2"/>
        <v>0</v>
      </c>
    </row>
    <row r="52" spans="1:15" ht="15" thickBot="1">
      <c r="B52" s="1127"/>
      <c r="C52" s="365" t="s">
        <v>704</v>
      </c>
      <c r="D52" s="682">
        <v>0</v>
      </c>
      <c r="N52" s="340">
        <f t="shared" si="1"/>
        <v>0</v>
      </c>
      <c r="O52" s="340">
        <f t="shared" si="2"/>
        <v>0</v>
      </c>
    </row>
    <row r="53" spans="1:15" ht="15" thickBot="1">
      <c r="B53" s="1127"/>
      <c r="C53" s="365" t="s">
        <v>705</v>
      </c>
      <c r="D53" s="682">
        <v>0</v>
      </c>
      <c r="N53" s="340">
        <f t="shared" si="1"/>
        <v>0</v>
      </c>
      <c r="O53" s="340">
        <f t="shared" si="2"/>
        <v>0</v>
      </c>
    </row>
    <row r="54" spans="1:15" ht="15" thickBot="1">
      <c r="B54" s="1127"/>
      <c r="C54" s="365" t="s">
        <v>706</v>
      </c>
      <c r="D54" s="682">
        <v>0</v>
      </c>
      <c r="N54" s="340">
        <f t="shared" si="1"/>
        <v>0</v>
      </c>
      <c r="O54" s="340">
        <f t="shared" si="2"/>
        <v>0</v>
      </c>
    </row>
    <row r="55" spans="1:15" ht="15.75" thickBot="1">
      <c r="B55" s="1127"/>
      <c r="C55" s="365" t="s">
        <v>707</v>
      </c>
      <c r="D55" s="682">
        <v>0</v>
      </c>
      <c r="E55" s="340" t="s">
        <v>709</v>
      </c>
      <c r="G55" s="352"/>
      <c r="N55" s="340">
        <f t="shared" si="1"/>
        <v>0</v>
      </c>
      <c r="O55" s="340">
        <f t="shared" si="2"/>
        <v>0</v>
      </c>
    </row>
    <row r="56" spans="1:15">
      <c r="E56" s="368" t="s">
        <v>710</v>
      </c>
    </row>
    <row r="57" spans="1:15">
      <c r="E57" s="368" t="s">
        <v>711</v>
      </c>
    </row>
    <row r="59" spans="1:15" ht="18">
      <c r="A59" s="343" t="s">
        <v>712</v>
      </c>
      <c r="B59" s="341"/>
    </row>
    <row r="60" spans="1:15" ht="15">
      <c r="A60" s="341">
        <v>1</v>
      </c>
      <c r="B60" s="341" t="s">
        <v>713</v>
      </c>
    </row>
    <row r="61" spans="1:15">
      <c r="B61" s="340" t="s">
        <v>714</v>
      </c>
    </row>
    <row r="62" spans="1:15">
      <c r="B62" s="424" t="s">
        <v>802</v>
      </c>
    </row>
    <row r="63" spans="1:15" hidden="1">
      <c r="B63" s="342"/>
    </row>
    <row r="64" spans="1:15" ht="15">
      <c r="B64" s="1131" t="s">
        <v>716</v>
      </c>
      <c r="C64" s="1131"/>
      <c r="D64" s="1131"/>
      <c r="E64" s="1131"/>
    </row>
    <row r="65" spans="1:18" ht="16.5">
      <c r="B65" s="356" t="s">
        <v>717</v>
      </c>
      <c r="C65" s="356"/>
      <c r="D65" s="369">
        <v>3.91</v>
      </c>
      <c r="E65" s="356" t="s">
        <v>718</v>
      </c>
      <c r="G65" s="340" t="s">
        <v>719</v>
      </c>
    </row>
    <row r="66" spans="1:18">
      <c r="B66" s="340" t="s">
        <v>720</v>
      </c>
    </row>
    <row r="67" spans="1:18">
      <c r="B67" s="342" t="s">
        <v>715</v>
      </c>
    </row>
    <row r="68" spans="1:18" ht="15">
      <c r="B68" s="370" t="s">
        <v>721</v>
      </c>
      <c r="C68" s="370"/>
      <c r="D68" s="370"/>
      <c r="E68" s="370"/>
    </row>
    <row r="69" spans="1:18" ht="16.5" customHeight="1">
      <c r="B69" s="356" t="s">
        <v>722</v>
      </c>
      <c r="C69" s="356"/>
      <c r="D69" s="355">
        <v>0.7</v>
      </c>
      <c r="E69" s="356"/>
      <c r="G69" s="340" t="s">
        <v>723</v>
      </c>
    </row>
    <row r="70" spans="1:18" ht="10.5" customHeight="1">
      <c r="B70" s="356"/>
      <c r="C70" s="356"/>
      <c r="D70" s="356"/>
      <c r="E70" s="356"/>
    </row>
    <row r="71" spans="1:18" ht="15">
      <c r="A71" s="341">
        <v>2</v>
      </c>
      <c r="B71" s="341" t="s">
        <v>724</v>
      </c>
    </row>
    <row r="72" spans="1:18">
      <c r="B72" s="340" t="s">
        <v>714</v>
      </c>
      <c r="O72" s="371" t="s">
        <v>725</v>
      </c>
      <c r="P72" s="371"/>
      <c r="Q72" s="371"/>
      <c r="R72" s="371"/>
    </row>
    <row r="73" spans="1:18">
      <c r="B73" s="424" t="s">
        <v>803</v>
      </c>
      <c r="O73" s="371" t="s">
        <v>726</v>
      </c>
      <c r="P73" s="371"/>
      <c r="Q73" s="371"/>
      <c r="R73" s="371"/>
    </row>
    <row r="74" spans="1:18" hidden="1">
      <c r="B74" s="342"/>
      <c r="O74" s="371" t="s">
        <v>727</v>
      </c>
      <c r="P74" s="371"/>
      <c r="Q74" s="371"/>
      <c r="R74" s="371"/>
    </row>
    <row r="75" spans="1:18" ht="15.75" thickBot="1">
      <c r="B75" s="1126" t="s">
        <v>728</v>
      </c>
      <c r="C75" s="1126"/>
      <c r="D75" s="1126"/>
      <c r="E75" s="1126"/>
      <c r="O75" s="1130" t="s">
        <v>729</v>
      </c>
      <c r="P75" s="1130"/>
      <c r="Q75" s="1130"/>
    </row>
    <row r="76" spans="1:18" s="402" customFormat="1" ht="14.25" customHeight="1" thickBot="1">
      <c r="B76" s="386" t="s">
        <v>804</v>
      </c>
      <c r="C76" s="386" t="s">
        <v>805</v>
      </c>
      <c r="D76" s="386" t="s">
        <v>772</v>
      </c>
      <c r="E76" s="429"/>
      <c r="O76" s="426" t="s">
        <v>807</v>
      </c>
      <c r="P76" s="427" t="s">
        <v>808</v>
      </c>
      <c r="Q76" s="428" t="s">
        <v>810</v>
      </c>
    </row>
    <row r="77" spans="1:18" ht="16.5" customHeight="1" thickBot="1">
      <c r="B77" s="1127" t="s">
        <v>699</v>
      </c>
      <c r="C77" s="365" t="s">
        <v>700</v>
      </c>
      <c r="D77" s="683">
        <v>1.18</v>
      </c>
      <c r="E77" s="356" t="s">
        <v>733</v>
      </c>
      <c r="G77" s="340" t="s">
        <v>734</v>
      </c>
      <c r="O77" s="1116" t="s">
        <v>735</v>
      </c>
      <c r="P77" s="376" t="s">
        <v>736</v>
      </c>
      <c r="Q77" s="377">
        <v>1.18</v>
      </c>
      <c r="R77" s="371" t="s">
        <v>737</v>
      </c>
    </row>
    <row r="78" spans="1:18" ht="16.5" customHeight="1" thickBot="1">
      <c r="B78" s="1127"/>
      <c r="C78" s="365" t="s">
        <v>701</v>
      </c>
      <c r="D78" s="683">
        <v>2</v>
      </c>
      <c r="E78" s="356" t="s">
        <v>738</v>
      </c>
      <c r="O78" s="1117"/>
      <c r="P78" s="378" t="s">
        <v>739</v>
      </c>
      <c r="Q78" s="379">
        <v>0.8</v>
      </c>
      <c r="R78" s="380" t="s">
        <v>740</v>
      </c>
    </row>
    <row r="79" spans="1:18" ht="16.5" customHeight="1" thickBot="1">
      <c r="B79" s="1127"/>
      <c r="C79" s="365" t="s">
        <v>702</v>
      </c>
      <c r="D79" s="683">
        <v>1.18</v>
      </c>
      <c r="E79" s="356" t="s">
        <v>741</v>
      </c>
      <c r="O79" s="1117"/>
      <c r="P79" s="378" t="s">
        <v>742</v>
      </c>
      <c r="Q79" s="379">
        <v>0.8</v>
      </c>
      <c r="R79" s="380" t="s">
        <v>740</v>
      </c>
    </row>
    <row r="80" spans="1:18" ht="16.5" customHeight="1" thickBot="1">
      <c r="B80" s="1127"/>
      <c r="C80" s="365" t="s">
        <v>703</v>
      </c>
      <c r="D80" s="683">
        <v>1.18</v>
      </c>
      <c r="E80" s="356" t="s">
        <v>743</v>
      </c>
      <c r="O80" s="1117"/>
      <c r="P80" s="378" t="s">
        <v>744</v>
      </c>
      <c r="Q80" s="379">
        <v>0.8</v>
      </c>
      <c r="R80" s="380" t="s">
        <v>740</v>
      </c>
    </row>
    <row r="81" spans="2:19" ht="16.5" customHeight="1" thickBot="1">
      <c r="B81" s="1127"/>
      <c r="C81" s="365" t="s">
        <v>704</v>
      </c>
      <c r="D81" s="683">
        <v>1.18</v>
      </c>
      <c r="E81" s="356" t="s">
        <v>745</v>
      </c>
      <c r="O81" s="1117"/>
      <c r="P81" s="381" t="s">
        <v>746</v>
      </c>
      <c r="Q81" s="382">
        <v>1.18</v>
      </c>
      <c r="R81" s="371" t="s">
        <v>737</v>
      </c>
    </row>
    <row r="82" spans="2:19" ht="16.5" customHeight="1" thickBot="1">
      <c r="B82" s="1127"/>
      <c r="C82" s="365" t="s">
        <v>705</v>
      </c>
      <c r="D82" s="683">
        <v>1.18</v>
      </c>
      <c r="E82" s="356" t="s">
        <v>743</v>
      </c>
      <c r="O82" s="1117"/>
      <c r="P82" s="381" t="s">
        <v>747</v>
      </c>
      <c r="Q82" s="382">
        <v>1.18</v>
      </c>
      <c r="R82" s="371" t="s">
        <v>737</v>
      </c>
    </row>
    <row r="83" spans="2:19" ht="16.5" customHeight="1" thickBot="1">
      <c r="B83" s="1127"/>
      <c r="C83" s="365" t="s">
        <v>706</v>
      </c>
      <c r="D83" s="683">
        <v>1.18</v>
      </c>
      <c r="E83" s="356" t="s">
        <v>748</v>
      </c>
      <c r="O83" s="1117"/>
      <c r="P83" s="381" t="s">
        <v>749</v>
      </c>
      <c r="Q83" s="382">
        <v>1.18</v>
      </c>
      <c r="R83" s="371" t="s">
        <v>737</v>
      </c>
    </row>
    <row r="84" spans="2:19" ht="16.5" customHeight="1" thickBot="1">
      <c r="B84" s="1127"/>
      <c r="C84" s="365" t="s">
        <v>707</v>
      </c>
      <c r="D84" s="683">
        <v>1.18</v>
      </c>
      <c r="E84" s="356" t="s">
        <v>750</v>
      </c>
      <c r="O84" s="1118"/>
      <c r="P84" s="383" t="s">
        <v>751</v>
      </c>
      <c r="Q84" s="384">
        <v>1.18</v>
      </c>
      <c r="R84" s="371" t="s">
        <v>737</v>
      </c>
    </row>
    <row r="85" spans="2:19" ht="10.5" customHeight="1">
      <c r="B85" s="372"/>
      <c r="C85" s="372"/>
      <c r="D85" s="372"/>
      <c r="E85" s="372"/>
      <c r="O85" s="385"/>
      <c r="P85" s="385"/>
      <c r="Q85" s="385"/>
      <c r="R85" s="371"/>
    </row>
    <row r="86" spans="2:19" ht="14.25" customHeight="1">
      <c r="B86" s="340" t="s">
        <v>720</v>
      </c>
      <c r="O86" s="371" t="s">
        <v>725</v>
      </c>
      <c r="P86" s="371"/>
      <c r="Q86" s="371"/>
      <c r="R86" s="371"/>
      <c r="S86" s="371"/>
    </row>
    <row r="87" spans="2:19" ht="14.25" customHeight="1">
      <c r="B87" s="424" t="s">
        <v>803</v>
      </c>
      <c r="O87" s="371" t="s">
        <v>726</v>
      </c>
      <c r="P87" s="371"/>
      <c r="Q87" s="371"/>
      <c r="R87" s="371"/>
      <c r="S87" s="371"/>
    </row>
    <row r="88" spans="2:19" ht="14.25" hidden="1" customHeight="1">
      <c r="B88" s="342"/>
      <c r="O88" s="371" t="s">
        <v>752</v>
      </c>
      <c r="P88" s="371"/>
      <c r="Q88" s="371"/>
      <c r="R88" s="371"/>
      <c r="S88" s="371"/>
    </row>
    <row r="89" spans="2:19" ht="15.75" thickBot="1">
      <c r="B89" s="1126" t="s">
        <v>753</v>
      </c>
      <c r="C89" s="1126"/>
      <c r="D89" s="1126"/>
      <c r="E89" s="1126"/>
      <c r="F89" s="1126"/>
      <c r="G89" s="1126"/>
      <c r="O89" s="1130" t="s">
        <v>754</v>
      </c>
      <c r="P89" s="1130"/>
      <c r="Q89" s="1130"/>
      <c r="S89" s="371"/>
    </row>
    <row r="90" spans="2:19" s="402" customFormat="1" ht="14.25" customHeight="1" thickBot="1">
      <c r="B90" s="386" t="s">
        <v>804</v>
      </c>
      <c r="C90" s="386" t="s">
        <v>805</v>
      </c>
      <c r="D90" s="386" t="s">
        <v>755</v>
      </c>
      <c r="E90" s="386"/>
      <c r="O90" s="426" t="s">
        <v>807</v>
      </c>
      <c r="P90" s="427" t="s">
        <v>808</v>
      </c>
      <c r="Q90" s="428" t="s">
        <v>809</v>
      </c>
    </row>
    <row r="91" spans="2:19" ht="16.5" customHeight="1" thickBot="1">
      <c r="B91" s="1127" t="s">
        <v>699</v>
      </c>
      <c r="C91" s="365" t="s">
        <v>700</v>
      </c>
      <c r="D91" s="682">
        <v>0.7</v>
      </c>
      <c r="E91" s="356"/>
      <c r="G91" s="340" t="s">
        <v>723</v>
      </c>
      <c r="O91" s="1116" t="s">
        <v>735</v>
      </c>
      <c r="P91" s="376" t="s">
        <v>736</v>
      </c>
      <c r="Q91" s="377">
        <v>0.7</v>
      </c>
      <c r="R91" s="371" t="s">
        <v>737</v>
      </c>
      <c r="S91" s="371"/>
    </row>
    <row r="92" spans="2:19" ht="16.5" customHeight="1" thickBot="1">
      <c r="B92" s="1127"/>
      <c r="C92" s="365" t="s">
        <v>701</v>
      </c>
      <c r="D92" s="682">
        <v>0.7</v>
      </c>
      <c r="E92" s="356"/>
      <c r="O92" s="1117"/>
      <c r="P92" s="378" t="s">
        <v>739</v>
      </c>
      <c r="Q92" s="379">
        <v>0.3</v>
      </c>
      <c r="R92" s="380" t="s">
        <v>756</v>
      </c>
      <c r="S92" s="371"/>
    </row>
    <row r="93" spans="2:19" ht="16.5" customHeight="1" thickBot="1">
      <c r="B93" s="1127"/>
      <c r="C93" s="365" t="s">
        <v>702</v>
      </c>
      <c r="D93" s="682">
        <v>0.7</v>
      </c>
      <c r="E93" s="356"/>
      <c r="O93" s="1117"/>
      <c r="P93" s="378" t="s">
        <v>742</v>
      </c>
      <c r="Q93" s="379">
        <v>0.3</v>
      </c>
      <c r="R93" s="380" t="s">
        <v>756</v>
      </c>
      <c r="S93" s="371"/>
    </row>
    <row r="94" spans="2:19" ht="16.5" customHeight="1" thickBot="1">
      <c r="B94" s="1127"/>
      <c r="C94" s="365" t="s">
        <v>703</v>
      </c>
      <c r="D94" s="682">
        <v>0.7</v>
      </c>
      <c r="E94" s="356"/>
      <c r="O94" s="1117"/>
      <c r="P94" s="378" t="s">
        <v>744</v>
      </c>
      <c r="Q94" s="379">
        <v>0.3</v>
      </c>
      <c r="R94" s="380" t="s">
        <v>756</v>
      </c>
      <c r="S94" s="371"/>
    </row>
    <row r="95" spans="2:19" ht="16.5" customHeight="1" thickBot="1">
      <c r="B95" s="1127"/>
      <c r="C95" s="365" t="s">
        <v>704</v>
      </c>
      <c r="D95" s="682">
        <v>0.7</v>
      </c>
      <c r="E95" s="356"/>
      <c r="O95" s="1117"/>
      <c r="P95" s="381" t="s">
        <v>746</v>
      </c>
      <c r="Q95" s="382">
        <v>0.7</v>
      </c>
      <c r="R95" s="371" t="s">
        <v>737</v>
      </c>
      <c r="S95" s="371"/>
    </row>
    <row r="96" spans="2:19" ht="16.5" customHeight="1" thickBot="1">
      <c r="B96" s="1127"/>
      <c r="C96" s="365" t="s">
        <v>705</v>
      </c>
      <c r="D96" s="682">
        <v>0.7</v>
      </c>
      <c r="E96" s="356"/>
      <c r="O96" s="1117"/>
      <c r="P96" s="381" t="s">
        <v>747</v>
      </c>
      <c r="Q96" s="382">
        <v>0.7</v>
      </c>
      <c r="R96" s="371" t="s">
        <v>737</v>
      </c>
      <c r="S96" s="371"/>
    </row>
    <row r="97" spans="1:19" ht="16.5" customHeight="1" thickBot="1">
      <c r="B97" s="1127"/>
      <c r="C97" s="365" t="s">
        <v>706</v>
      </c>
      <c r="D97" s="682">
        <v>0.7</v>
      </c>
      <c r="E97" s="356"/>
      <c r="O97" s="1117"/>
      <c r="P97" s="381" t="s">
        <v>749</v>
      </c>
      <c r="Q97" s="382">
        <v>0.7</v>
      </c>
      <c r="R97" s="371" t="s">
        <v>737</v>
      </c>
      <c r="S97" s="371"/>
    </row>
    <row r="98" spans="1:19" ht="16.5" customHeight="1" thickBot="1">
      <c r="B98" s="1127"/>
      <c r="C98" s="365" t="s">
        <v>707</v>
      </c>
      <c r="D98" s="682">
        <v>0.7</v>
      </c>
      <c r="E98" s="356"/>
      <c r="O98" s="1118"/>
      <c r="P98" s="383" t="s">
        <v>751</v>
      </c>
      <c r="Q98" s="384">
        <v>0.7</v>
      </c>
      <c r="R98" s="371" t="s">
        <v>737</v>
      </c>
    </row>
    <row r="99" spans="1:19" ht="10.5" customHeight="1">
      <c r="B99" s="372"/>
      <c r="C99" s="372"/>
      <c r="D99" s="372"/>
      <c r="E99" s="356"/>
      <c r="O99" s="385"/>
      <c r="P99" s="385"/>
      <c r="Q99" s="385"/>
      <c r="R99" s="371"/>
    </row>
    <row r="100" spans="1:19" ht="15">
      <c r="A100" s="341">
        <v>3</v>
      </c>
      <c r="B100" s="370" t="s">
        <v>757</v>
      </c>
      <c r="C100" s="372"/>
      <c r="D100" s="372"/>
      <c r="E100" s="372"/>
      <c r="G100" s="385"/>
      <c r="H100" s="385"/>
      <c r="I100" s="385"/>
      <c r="J100" s="371"/>
    </row>
    <row r="101" spans="1:19">
      <c r="B101" s="340" t="s">
        <v>758</v>
      </c>
    </row>
    <row r="102" spans="1:19" ht="15.75" thickBot="1">
      <c r="B102" s="1131" t="s">
        <v>759</v>
      </c>
      <c r="C102" s="1131"/>
      <c r="D102" s="1131"/>
      <c r="E102" s="1131"/>
      <c r="F102" s="1131"/>
      <c r="G102" s="1131"/>
    </row>
    <row r="103" spans="1:19" ht="16.5" customHeight="1" thickBot="1">
      <c r="B103" s="387" t="s">
        <v>760</v>
      </c>
      <c r="C103" s="388"/>
      <c r="D103" s="389"/>
      <c r="E103" s="390">
        <v>5.95</v>
      </c>
      <c r="F103" s="391" t="s">
        <v>738</v>
      </c>
      <c r="G103" s="392">
        <v>0.876</v>
      </c>
    </row>
    <row r="104" spans="1:19" ht="16.5" customHeight="1" thickBot="1">
      <c r="B104" s="393" t="s">
        <v>761</v>
      </c>
      <c r="C104" s="394"/>
      <c r="D104" s="391"/>
      <c r="E104" s="395">
        <v>5.61</v>
      </c>
      <c r="F104" s="391" t="s">
        <v>738</v>
      </c>
      <c r="G104" s="396">
        <v>0.49</v>
      </c>
    </row>
    <row r="105" spans="1:19" ht="16.5" customHeight="1" thickBot="1">
      <c r="B105" s="1119" t="s">
        <v>762</v>
      </c>
      <c r="C105" s="1120"/>
      <c r="D105" s="1121"/>
      <c r="E105" s="397">
        <v>2.5</v>
      </c>
      <c r="F105" s="391" t="s">
        <v>738</v>
      </c>
      <c r="G105" s="398">
        <v>0.41499999999999998</v>
      </c>
    </row>
    <row r="106" spans="1:19" ht="16.5" customHeight="1" thickBot="1">
      <c r="B106" s="1136" t="s">
        <v>763</v>
      </c>
      <c r="C106" s="1137"/>
      <c r="D106" s="1138"/>
      <c r="E106" s="399">
        <v>1.69</v>
      </c>
      <c r="F106" s="391" t="s">
        <v>738</v>
      </c>
      <c r="G106" s="400">
        <v>0.40799999999999997</v>
      </c>
    </row>
    <row r="107" spans="1:19" ht="16.5" customHeight="1" thickBot="1">
      <c r="B107" s="393" t="s">
        <v>764</v>
      </c>
      <c r="C107" s="394"/>
      <c r="D107" s="394"/>
      <c r="E107" s="366"/>
      <c r="F107" s="394" t="s">
        <v>738</v>
      </c>
      <c r="G107" s="366"/>
    </row>
    <row r="108" spans="1:19" ht="10.5" customHeight="1">
      <c r="O108" s="371" t="s">
        <v>725</v>
      </c>
      <c r="P108" s="371"/>
      <c r="Q108" s="371"/>
      <c r="R108" s="371"/>
      <c r="S108" s="371"/>
    </row>
    <row r="109" spans="1:19">
      <c r="B109" s="342" t="s">
        <v>765</v>
      </c>
      <c r="O109" s="371" t="s">
        <v>766</v>
      </c>
      <c r="P109" s="371"/>
      <c r="Q109" s="371"/>
      <c r="R109" s="371"/>
      <c r="S109" s="371"/>
    </row>
    <row r="110" spans="1:19">
      <c r="B110" s="342" t="s">
        <v>767</v>
      </c>
      <c r="O110" s="371" t="s">
        <v>768</v>
      </c>
      <c r="P110" s="371"/>
      <c r="Q110" s="371"/>
      <c r="R110" s="371"/>
      <c r="S110" s="371"/>
    </row>
    <row r="111" spans="1:19" ht="15">
      <c r="B111" s="401" t="s">
        <v>769</v>
      </c>
      <c r="C111" s="368"/>
      <c r="D111" s="368"/>
      <c r="E111" s="368"/>
      <c r="J111" s="340" t="s">
        <v>770</v>
      </c>
      <c r="O111" s="371" t="s">
        <v>771</v>
      </c>
      <c r="P111" s="371"/>
      <c r="Q111" s="371"/>
      <c r="R111" s="371"/>
      <c r="S111" s="371"/>
    </row>
    <row r="112" spans="1:19" ht="15" thickBot="1">
      <c r="B112" s="425" t="s">
        <v>804</v>
      </c>
      <c r="C112" s="425" t="s">
        <v>805</v>
      </c>
      <c r="D112" s="1125" t="s">
        <v>806</v>
      </c>
      <c r="E112" s="1125"/>
      <c r="F112" s="1125"/>
      <c r="G112" s="386" t="s">
        <v>772</v>
      </c>
      <c r="H112" s="386" t="s">
        <v>773</v>
      </c>
      <c r="I112" s="402"/>
      <c r="J112" s="402" t="s">
        <v>772</v>
      </c>
      <c r="K112" s="430" t="s">
        <v>773</v>
      </c>
      <c r="O112" s="1130" t="s">
        <v>774</v>
      </c>
      <c r="P112" s="1130"/>
      <c r="Q112" s="1130"/>
      <c r="R112" s="1130"/>
      <c r="S112" s="371"/>
    </row>
    <row r="113" spans="1:22" ht="16.5" customHeight="1" thickBot="1">
      <c r="B113" s="1127" t="s">
        <v>708</v>
      </c>
      <c r="C113" s="365" t="s">
        <v>700</v>
      </c>
      <c r="D113" s="1132" t="s">
        <v>775</v>
      </c>
      <c r="E113" s="1133"/>
      <c r="F113" s="1134"/>
      <c r="G113" s="372">
        <f>INDEX($E$103:$E$107,V114,1)</f>
        <v>5.95</v>
      </c>
      <c r="H113" s="356">
        <f>INDEX($G$103:$G$107,V114,1)</f>
        <v>0.876</v>
      </c>
      <c r="J113" s="367" t="s">
        <v>776</v>
      </c>
      <c r="K113" s="352">
        <v>0.876</v>
      </c>
      <c r="O113" s="373" t="s">
        <v>730</v>
      </c>
      <c r="P113" s="374" t="s">
        <v>731</v>
      </c>
      <c r="Q113" s="374" t="s">
        <v>732</v>
      </c>
      <c r="R113" s="375" t="s">
        <v>777</v>
      </c>
      <c r="S113" s="371"/>
    </row>
    <row r="114" spans="1:22" ht="16.5" customHeight="1" thickBot="1">
      <c r="B114" s="1127"/>
      <c r="C114" s="365" t="s">
        <v>701</v>
      </c>
      <c r="D114" s="1132" t="s">
        <v>760</v>
      </c>
      <c r="E114" s="1133"/>
      <c r="F114" s="1134"/>
      <c r="G114" s="372">
        <f t="shared" ref="G114:G120" si="3">INDEX($E$103:$E$107,V115,1)</f>
        <v>5.95</v>
      </c>
      <c r="H114" s="356">
        <f t="shared" ref="H114:H120" si="4">INDEX($G$103:$G$107,V115,1)</f>
        <v>0.876</v>
      </c>
      <c r="O114" s="1122" t="s">
        <v>778</v>
      </c>
      <c r="P114" s="376" t="s">
        <v>736</v>
      </c>
      <c r="Q114" s="403">
        <v>6.29</v>
      </c>
      <c r="R114" s="404">
        <v>0.96</v>
      </c>
      <c r="S114" s="371" t="s">
        <v>737</v>
      </c>
      <c r="V114" s="340">
        <f t="shared" ref="V114:V121" si="5">MATCH($D113,$B$103:$B$107,0)</f>
        <v>1</v>
      </c>
    </row>
    <row r="115" spans="1:22" ht="16.5" customHeight="1" thickBot="1">
      <c r="B115" s="1127"/>
      <c r="C115" s="365" t="s">
        <v>702</v>
      </c>
      <c r="D115" s="1132" t="s">
        <v>760</v>
      </c>
      <c r="E115" s="1133"/>
      <c r="F115" s="1134"/>
      <c r="G115" s="372">
        <f t="shared" si="3"/>
        <v>5.95</v>
      </c>
      <c r="H115" s="356">
        <f t="shared" si="4"/>
        <v>0.876</v>
      </c>
      <c r="O115" s="1123"/>
      <c r="P115" s="381" t="s">
        <v>779</v>
      </c>
      <c r="Q115" s="405">
        <v>6.29</v>
      </c>
      <c r="R115" s="406">
        <v>0.96</v>
      </c>
      <c r="S115" s="371" t="s">
        <v>737</v>
      </c>
      <c r="V115" s="340">
        <f t="shared" si="5"/>
        <v>1</v>
      </c>
    </row>
    <row r="116" spans="1:22" ht="16.5" customHeight="1" thickBot="1">
      <c r="B116" s="1127"/>
      <c r="C116" s="365" t="s">
        <v>703</v>
      </c>
      <c r="D116" s="1132" t="s">
        <v>760</v>
      </c>
      <c r="E116" s="1133"/>
      <c r="F116" s="1134"/>
      <c r="G116" s="372">
        <f t="shared" si="3"/>
        <v>5.95</v>
      </c>
      <c r="H116" s="356">
        <f t="shared" si="4"/>
        <v>0.876</v>
      </c>
      <c r="O116" s="1123"/>
      <c r="P116" s="381" t="s">
        <v>780</v>
      </c>
      <c r="Q116" s="405">
        <v>6.29</v>
      </c>
      <c r="R116" s="406">
        <v>0.96</v>
      </c>
      <c r="S116" s="371" t="s">
        <v>737</v>
      </c>
      <c r="V116" s="340">
        <f t="shared" si="5"/>
        <v>1</v>
      </c>
    </row>
    <row r="117" spans="1:22" ht="16.5" customHeight="1" thickBot="1">
      <c r="B117" s="1127"/>
      <c r="C117" s="365" t="s">
        <v>704</v>
      </c>
      <c r="D117" s="1132" t="s">
        <v>760</v>
      </c>
      <c r="E117" s="1133"/>
      <c r="F117" s="1134"/>
      <c r="G117" s="372">
        <f t="shared" si="3"/>
        <v>5.95</v>
      </c>
      <c r="H117" s="356">
        <f t="shared" si="4"/>
        <v>0.876</v>
      </c>
      <c r="O117" s="1123"/>
      <c r="P117" s="381" t="s">
        <v>781</v>
      </c>
      <c r="Q117" s="405">
        <v>6.29</v>
      </c>
      <c r="R117" s="406">
        <v>0.96</v>
      </c>
      <c r="S117" s="371" t="s">
        <v>737</v>
      </c>
      <c r="V117" s="340">
        <f t="shared" si="5"/>
        <v>1</v>
      </c>
    </row>
    <row r="118" spans="1:22" ht="16.5" customHeight="1" thickBot="1">
      <c r="B118" s="1127"/>
      <c r="C118" s="365" t="s">
        <v>705</v>
      </c>
      <c r="D118" s="1132" t="s">
        <v>775</v>
      </c>
      <c r="E118" s="1133"/>
      <c r="F118" s="1134"/>
      <c r="G118" s="372">
        <f t="shared" si="3"/>
        <v>5.95</v>
      </c>
      <c r="H118" s="356">
        <f t="shared" si="4"/>
        <v>0.876</v>
      </c>
      <c r="O118" s="1123"/>
      <c r="P118" s="378" t="s">
        <v>782</v>
      </c>
      <c r="Q118" s="407">
        <v>3</v>
      </c>
      <c r="R118" s="408">
        <v>0.8</v>
      </c>
      <c r="S118" s="380" t="s">
        <v>783</v>
      </c>
      <c r="V118" s="340">
        <f t="shared" si="5"/>
        <v>1</v>
      </c>
    </row>
    <row r="119" spans="1:22" ht="16.5" customHeight="1" thickBot="1">
      <c r="B119" s="1127"/>
      <c r="C119" s="365" t="s">
        <v>706</v>
      </c>
      <c r="D119" s="1132" t="s">
        <v>760</v>
      </c>
      <c r="E119" s="1133"/>
      <c r="F119" s="1134"/>
      <c r="G119" s="372">
        <f t="shared" si="3"/>
        <v>5.95</v>
      </c>
      <c r="H119" s="356">
        <f t="shared" si="4"/>
        <v>0.876</v>
      </c>
      <c r="O119" s="1123"/>
      <c r="P119" s="378" t="s">
        <v>784</v>
      </c>
      <c r="Q119" s="407">
        <v>3</v>
      </c>
      <c r="R119" s="408">
        <v>0.8</v>
      </c>
      <c r="S119" s="380" t="s">
        <v>783</v>
      </c>
      <c r="V119" s="340">
        <f t="shared" si="5"/>
        <v>1</v>
      </c>
    </row>
    <row r="120" spans="1:22" ht="16.5" customHeight="1" thickBot="1">
      <c r="B120" s="1127"/>
      <c r="C120" s="365" t="s">
        <v>707</v>
      </c>
      <c r="D120" s="1132" t="s">
        <v>775</v>
      </c>
      <c r="E120" s="1133"/>
      <c r="F120" s="1134"/>
      <c r="G120" s="372">
        <f t="shared" si="3"/>
        <v>5.95</v>
      </c>
      <c r="H120" s="356">
        <f t="shared" si="4"/>
        <v>0.876</v>
      </c>
      <c r="O120" s="1123"/>
      <c r="P120" s="378" t="s">
        <v>785</v>
      </c>
      <c r="Q120" s="407">
        <v>3</v>
      </c>
      <c r="R120" s="408">
        <v>0.8</v>
      </c>
      <c r="S120" s="380" t="s">
        <v>783</v>
      </c>
      <c r="V120" s="340">
        <f t="shared" si="5"/>
        <v>1</v>
      </c>
    </row>
    <row r="121" spans="1:22" ht="6" customHeight="1" thickBot="1">
      <c r="O121" s="1124"/>
      <c r="P121" s="383" t="s">
        <v>751</v>
      </c>
      <c r="Q121" s="409">
        <v>6.29</v>
      </c>
      <c r="R121" s="410">
        <v>0.96</v>
      </c>
      <c r="S121" s="371" t="s">
        <v>737</v>
      </c>
      <c r="V121" s="340">
        <f t="shared" si="5"/>
        <v>1</v>
      </c>
    </row>
    <row r="122" spans="1:22" ht="15" hidden="1">
      <c r="A122" s="411">
        <v>4</v>
      </c>
      <c r="B122" s="412" t="s">
        <v>786</v>
      </c>
      <c r="C122" s="413"/>
      <c r="D122" s="413"/>
      <c r="E122" s="413"/>
      <c r="F122" s="413"/>
      <c r="G122" s="413"/>
      <c r="H122" s="413"/>
      <c r="I122" s="413"/>
      <c r="J122" s="413"/>
      <c r="K122" s="414"/>
    </row>
    <row r="123" spans="1:22" hidden="1">
      <c r="A123" s="415"/>
      <c r="K123" s="416"/>
    </row>
    <row r="124" spans="1:22" hidden="1">
      <c r="A124" s="415"/>
      <c r="B124" s="340" t="s">
        <v>787</v>
      </c>
      <c r="K124" s="416"/>
    </row>
    <row r="125" spans="1:22" hidden="1">
      <c r="A125" s="415"/>
      <c r="B125" s="1129" t="s">
        <v>788</v>
      </c>
      <c r="C125" s="1129"/>
      <c r="D125" s="1129"/>
      <c r="E125" s="1129"/>
      <c r="F125" s="1129"/>
      <c r="K125" s="416"/>
    </row>
    <row r="126" spans="1:22" hidden="1">
      <c r="A126" s="415"/>
      <c r="B126" s="417" t="s">
        <v>789</v>
      </c>
      <c r="C126" s="417" t="s">
        <v>790</v>
      </c>
      <c r="D126" s="417" t="s">
        <v>791</v>
      </c>
      <c r="E126" s="417" t="s">
        <v>792</v>
      </c>
      <c r="F126" s="417" t="s">
        <v>793</v>
      </c>
      <c r="K126" s="416"/>
    </row>
    <row r="127" spans="1:22" ht="20.100000000000001" hidden="1" customHeight="1">
      <c r="A127" s="415"/>
      <c r="B127" s="418" t="s">
        <v>794</v>
      </c>
      <c r="C127" s="417" t="s">
        <v>675</v>
      </c>
      <c r="D127" s="419">
        <f>D137+D147+D157+D167</f>
        <v>0</v>
      </c>
      <c r="E127" s="419">
        <f t="shared" ref="E127:F133" si="6">E137+E147+E157+E167</f>
        <v>0</v>
      </c>
      <c r="F127" s="419">
        <f t="shared" si="6"/>
        <v>0</v>
      </c>
      <c r="K127" s="416"/>
    </row>
    <row r="128" spans="1:22" ht="20.100000000000001" hidden="1" customHeight="1">
      <c r="A128" s="415"/>
      <c r="B128" s="418" t="s">
        <v>795</v>
      </c>
      <c r="C128" s="417" t="s">
        <v>796</v>
      </c>
      <c r="D128" s="419">
        <f>D138+D148+D158+D168</f>
        <v>0</v>
      </c>
      <c r="E128" s="419">
        <f t="shared" si="6"/>
        <v>0</v>
      </c>
      <c r="F128" s="419">
        <f t="shared" si="6"/>
        <v>0</v>
      </c>
      <c r="K128" s="416"/>
    </row>
    <row r="129" spans="1:11" ht="20.100000000000001" hidden="1" customHeight="1">
      <c r="A129" s="415"/>
      <c r="B129" s="418" t="s">
        <v>797</v>
      </c>
      <c r="C129" s="417" t="s">
        <v>247</v>
      </c>
      <c r="D129" s="420" t="e">
        <f>(1-D131/D130)*100</f>
        <v>#DIV/0!</v>
      </c>
      <c r="E129" s="420" t="e">
        <f t="shared" ref="E129:F129" si="7">(1-E131/E130)*100</f>
        <v>#DIV/0!</v>
      </c>
      <c r="F129" s="420" t="e">
        <f t="shared" si="7"/>
        <v>#DIV/0!</v>
      </c>
      <c r="K129" s="416"/>
    </row>
    <row r="130" spans="1:11" ht="20.100000000000001" hidden="1" customHeight="1">
      <c r="A130" s="415"/>
      <c r="B130" s="418" t="s">
        <v>798</v>
      </c>
      <c r="C130" s="417" t="s">
        <v>796</v>
      </c>
      <c r="D130" s="420">
        <f>D140+D150+D160+D170</f>
        <v>0</v>
      </c>
      <c r="E130" s="420">
        <f t="shared" si="6"/>
        <v>0</v>
      </c>
      <c r="F130" s="420">
        <f t="shared" si="6"/>
        <v>0</v>
      </c>
      <c r="K130" s="416"/>
    </row>
    <row r="131" spans="1:11" hidden="1">
      <c r="A131" s="415"/>
      <c r="B131" s="418" t="s">
        <v>799</v>
      </c>
      <c r="C131" s="417" t="s">
        <v>796</v>
      </c>
      <c r="D131" s="420">
        <f>D141+D151+D161+D171</f>
        <v>0</v>
      </c>
      <c r="E131" s="420">
        <f t="shared" si="6"/>
        <v>0</v>
      </c>
      <c r="F131" s="420">
        <f t="shared" si="6"/>
        <v>0</v>
      </c>
      <c r="K131" s="416"/>
    </row>
    <row r="132" spans="1:11" hidden="1">
      <c r="A132" s="415"/>
      <c r="B132" s="418" t="s">
        <v>800</v>
      </c>
      <c r="C132" s="417" t="s">
        <v>675</v>
      </c>
      <c r="D132" s="623">
        <f>D142+D152+D162+D172</f>
        <v>0</v>
      </c>
      <c r="E132" s="623">
        <f t="shared" si="6"/>
        <v>0</v>
      </c>
      <c r="F132" s="623">
        <f t="shared" si="6"/>
        <v>0</v>
      </c>
      <c r="K132" s="416"/>
    </row>
    <row r="133" spans="1:11" ht="15" hidden="1" thickBot="1">
      <c r="A133" s="421"/>
      <c r="B133" s="418" t="s">
        <v>801</v>
      </c>
      <c r="C133" s="418" t="s">
        <v>675</v>
      </c>
      <c r="D133" s="419">
        <f>D143+D153+D163+D173</f>
        <v>0</v>
      </c>
      <c r="E133" s="419">
        <f t="shared" si="6"/>
        <v>0</v>
      </c>
      <c r="F133" s="419">
        <f t="shared" si="6"/>
        <v>0</v>
      </c>
      <c r="G133" s="422"/>
      <c r="H133" s="422"/>
      <c r="I133" s="422"/>
      <c r="J133" s="422"/>
      <c r="K133" s="423"/>
    </row>
    <row r="134" spans="1:11" hidden="1">
      <c r="A134" s="356"/>
      <c r="B134" s="356"/>
      <c r="C134" s="356"/>
      <c r="D134" s="628"/>
      <c r="E134" s="628"/>
      <c r="F134" s="628"/>
      <c r="G134" s="356"/>
      <c r="H134" s="356"/>
      <c r="I134" s="356"/>
      <c r="J134" s="356"/>
      <c r="K134" s="356"/>
    </row>
    <row r="135" spans="1:11" ht="16.5" hidden="1">
      <c r="B135" s="417" t="s">
        <v>960</v>
      </c>
    </row>
    <row r="136" spans="1:11" hidden="1">
      <c r="B136" s="417" t="s">
        <v>789</v>
      </c>
      <c r="C136" s="417" t="s">
        <v>790</v>
      </c>
      <c r="D136" s="417" t="s">
        <v>791</v>
      </c>
      <c r="E136" s="417" t="s">
        <v>792</v>
      </c>
      <c r="F136" s="417" t="s">
        <v>793</v>
      </c>
    </row>
    <row r="137" spans="1:11" hidden="1">
      <c r="B137" s="418" t="s">
        <v>794</v>
      </c>
      <c r="C137" s="417" t="s">
        <v>675</v>
      </c>
      <c r="D137" s="419">
        <f>さいたま市屋根!E20</f>
        <v>0</v>
      </c>
      <c r="E137" s="419">
        <f>熊谷市屋根!E20</f>
        <v>0</v>
      </c>
      <c r="F137" s="419">
        <f>秩父市屋根!E20</f>
        <v>0</v>
      </c>
    </row>
    <row r="138" spans="1:11" hidden="1">
      <c r="B138" s="418" t="s">
        <v>795</v>
      </c>
      <c r="C138" s="417" t="s">
        <v>796</v>
      </c>
      <c r="D138" s="624">
        <f>さいたま市屋根!E21</f>
        <v>0</v>
      </c>
      <c r="E138" s="624">
        <f>熊谷市屋根!E21</f>
        <v>0</v>
      </c>
      <c r="F138" s="624">
        <f>秩父市屋根!E21</f>
        <v>0</v>
      </c>
    </row>
    <row r="139" spans="1:11" hidden="1">
      <c r="B139" s="418" t="s">
        <v>797</v>
      </c>
      <c r="C139" s="417" t="s">
        <v>247</v>
      </c>
      <c r="D139" s="420" t="e">
        <f>(1-D141/D140)*100</f>
        <v>#DIV/0!</v>
      </c>
      <c r="E139" s="420" t="e">
        <f t="shared" ref="E139:F139" si="8">(1-E141/E140)*100</f>
        <v>#DIV/0!</v>
      </c>
      <c r="F139" s="420" t="e">
        <f t="shared" si="8"/>
        <v>#DIV/0!</v>
      </c>
    </row>
    <row r="140" spans="1:11" hidden="1">
      <c r="B140" s="418" t="s">
        <v>798</v>
      </c>
      <c r="C140" s="417" t="s">
        <v>796</v>
      </c>
      <c r="D140" s="420">
        <f>さいたま市屋根!T21</f>
        <v>0</v>
      </c>
      <c r="E140" s="420">
        <f>熊谷市屋根!T21</f>
        <v>0</v>
      </c>
      <c r="F140" s="420">
        <f>秩父市屋根!T21</f>
        <v>0</v>
      </c>
    </row>
    <row r="141" spans="1:11" hidden="1">
      <c r="B141" s="418" t="s">
        <v>799</v>
      </c>
      <c r="C141" s="417" t="s">
        <v>796</v>
      </c>
      <c r="D141" s="420">
        <f>さいたま市屋根!AB21</f>
        <v>0</v>
      </c>
      <c r="E141" s="420">
        <f>熊谷市屋根!AB21</f>
        <v>0</v>
      </c>
      <c r="F141" s="420">
        <f>秩父市屋根!AB21</f>
        <v>0</v>
      </c>
    </row>
    <row r="142" spans="1:11" hidden="1">
      <c r="B142" s="625" t="s">
        <v>800</v>
      </c>
      <c r="C142" s="372" t="s">
        <v>675</v>
      </c>
      <c r="D142" s="623">
        <f>さいたま市屋根!T20</f>
        <v>0</v>
      </c>
      <c r="E142" s="623">
        <f>熊谷市屋根!T20</f>
        <v>0</v>
      </c>
      <c r="F142" s="623">
        <f>秩父市屋根!T20</f>
        <v>0</v>
      </c>
    </row>
    <row r="143" spans="1:11" hidden="1">
      <c r="B143" s="626" t="s">
        <v>801</v>
      </c>
      <c r="C143" s="627" t="s">
        <v>675</v>
      </c>
      <c r="D143" s="623">
        <f>さいたま市屋根!AB20</f>
        <v>0</v>
      </c>
      <c r="E143" s="623">
        <f>熊谷市屋根!AB20</f>
        <v>0</v>
      </c>
      <c r="F143" s="623">
        <f>秩父市屋根!AB20</f>
        <v>0</v>
      </c>
    </row>
    <row r="144" spans="1:11" hidden="1">
      <c r="B144" s="356"/>
      <c r="C144" s="356"/>
      <c r="D144" s="629"/>
      <c r="E144" s="629"/>
      <c r="F144" s="629"/>
    </row>
    <row r="145" spans="2:6" ht="16.5" hidden="1">
      <c r="B145" s="417" t="s">
        <v>961</v>
      </c>
    </row>
    <row r="146" spans="2:6" hidden="1">
      <c r="B146" s="417" t="s">
        <v>789</v>
      </c>
      <c r="C146" s="417" t="s">
        <v>790</v>
      </c>
      <c r="D146" s="417" t="s">
        <v>791</v>
      </c>
      <c r="E146" s="417" t="s">
        <v>792</v>
      </c>
      <c r="F146" s="417" t="s">
        <v>793</v>
      </c>
    </row>
    <row r="147" spans="2:6" hidden="1">
      <c r="B147" s="418" t="s">
        <v>794</v>
      </c>
      <c r="C147" s="417" t="s">
        <v>675</v>
      </c>
      <c r="D147" s="419">
        <f>さいたま市外壁!E20</f>
        <v>0</v>
      </c>
      <c r="E147" s="419">
        <f>熊谷市外壁!E20</f>
        <v>0</v>
      </c>
      <c r="F147" s="419">
        <f>秩父市外壁!E20</f>
        <v>0</v>
      </c>
    </row>
    <row r="148" spans="2:6" hidden="1">
      <c r="B148" s="418" t="s">
        <v>795</v>
      </c>
      <c r="C148" s="417" t="s">
        <v>796</v>
      </c>
      <c r="D148" s="624">
        <f>さいたま市外壁!E21</f>
        <v>0</v>
      </c>
      <c r="E148" s="624">
        <f>熊谷市外壁!E21</f>
        <v>0</v>
      </c>
      <c r="F148" s="624">
        <f>秩父市外壁!E21</f>
        <v>0</v>
      </c>
    </row>
    <row r="149" spans="2:6" hidden="1">
      <c r="B149" s="418" t="s">
        <v>797</v>
      </c>
      <c r="C149" s="417" t="s">
        <v>247</v>
      </c>
      <c r="D149" s="420" t="e">
        <f>(1-D151/D150)*100</f>
        <v>#DIV/0!</v>
      </c>
      <c r="E149" s="420" t="e">
        <f t="shared" ref="E149:F149" si="9">(1-E151/E150)*100</f>
        <v>#DIV/0!</v>
      </c>
      <c r="F149" s="420" t="e">
        <f t="shared" si="9"/>
        <v>#DIV/0!</v>
      </c>
    </row>
    <row r="150" spans="2:6" hidden="1">
      <c r="B150" s="418" t="s">
        <v>798</v>
      </c>
      <c r="C150" s="417" t="s">
        <v>796</v>
      </c>
      <c r="D150" s="420">
        <f>さいたま市外壁!T21</f>
        <v>0</v>
      </c>
      <c r="E150" s="420">
        <f>熊谷市外壁!T21</f>
        <v>0</v>
      </c>
      <c r="F150" s="420">
        <f>秩父市外壁!T21</f>
        <v>0</v>
      </c>
    </row>
    <row r="151" spans="2:6" hidden="1">
      <c r="B151" s="418" t="s">
        <v>799</v>
      </c>
      <c r="C151" s="417" t="s">
        <v>796</v>
      </c>
      <c r="D151" s="420">
        <f>さいたま市外壁!AB21</f>
        <v>0</v>
      </c>
      <c r="E151" s="420">
        <f>熊谷市外壁!AB21</f>
        <v>0</v>
      </c>
      <c r="F151" s="420">
        <f>秩父市外壁!AB21</f>
        <v>0</v>
      </c>
    </row>
    <row r="152" spans="2:6" hidden="1">
      <c r="B152" s="625" t="s">
        <v>800</v>
      </c>
      <c r="C152" s="372" t="s">
        <v>675</v>
      </c>
      <c r="D152" s="623">
        <f>さいたま市外壁!T20</f>
        <v>0</v>
      </c>
      <c r="E152" s="623">
        <f>熊谷市外壁!T20</f>
        <v>0</v>
      </c>
      <c r="F152" s="623">
        <f>秩父市外壁!T20</f>
        <v>0</v>
      </c>
    </row>
    <row r="153" spans="2:6" hidden="1">
      <c r="B153" s="626" t="s">
        <v>801</v>
      </c>
      <c r="C153" s="627" t="s">
        <v>675</v>
      </c>
      <c r="D153" s="623">
        <f>さいたま市外壁!AB20</f>
        <v>0</v>
      </c>
      <c r="E153" s="623">
        <f>熊谷市外壁!AB20</f>
        <v>0</v>
      </c>
      <c r="F153" s="623">
        <f>秩父市外壁!AB20</f>
        <v>0</v>
      </c>
    </row>
    <row r="154" spans="2:6" hidden="1">
      <c r="B154" s="356"/>
      <c r="C154" s="356"/>
      <c r="D154" s="629"/>
      <c r="E154" s="629"/>
      <c r="F154" s="629"/>
    </row>
    <row r="155" spans="2:6" hidden="1">
      <c r="B155" s="417" t="s">
        <v>1021</v>
      </c>
    </row>
    <row r="156" spans="2:6" hidden="1">
      <c r="B156" s="417" t="s">
        <v>789</v>
      </c>
      <c r="C156" s="417" t="s">
        <v>790</v>
      </c>
      <c r="D156" s="417" t="s">
        <v>791</v>
      </c>
      <c r="E156" s="417" t="s">
        <v>792</v>
      </c>
      <c r="F156" s="417" t="s">
        <v>793</v>
      </c>
    </row>
    <row r="157" spans="2:6" hidden="1">
      <c r="B157" s="418" t="s">
        <v>794</v>
      </c>
      <c r="C157" s="417" t="s">
        <v>675</v>
      </c>
      <c r="D157" s="419">
        <f>さいたま市窓断熱!E20</f>
        <v>0</v>
      </c>
      <c r="E157" s="419">
        <f>熊谷市窓断熱!E20</f>
        <v>0</v>
      </c>
      <c r="F157" s="419">
        <f>秩父市窓断熱!E20</f>
        <v>0</v>
      </c>
    </row>
    <row r="158" spans="2:6" hidden="1">
      <c r="B158" s="418" t="s">
        <v>795</v>
      </c>
      <c r="C158" s="417" t="s">
        <v>796</v>
      </c>
      <c r="D158" s="419">
        <f>さいたま市窓断熱!E21</f>
        <v>0</v>
      </c>
      <c r="E158" s="419">
        <f>熊谷市窓断熱!E21</f>
        <v>0</v>
      </c>
      <c r="F158" s="419">
        <f>秩父市窓断熱!E21</f>
        <v>0</v>
      </c>
    </row>
    <row r="159" spans="2:6" hidden="1">
      <c r="B159" s="418" t="s">
        <v>797</v>
      </c>
      <c r="C159" s="417" t="s">
        <v>247</v>
      </c>
      <c r="D159" s="420" t="e">
        <f>(1-D161/D160)*100</f>
        <v>#DIV/0!</v>
      </c>
      <c r="E159" s="420" t="e">
        <f t="shared" ref="E159:F159" si="10">(1-E161/E160)*100</f>
        <v>#DIV/0!</v>
      </c>
      <c r="F159" s="420" t="e">
        <f t="shared" si="10"/>
        <v>#DIV/0!</v>
      </c>
    </row>
    <row r="160" spans="2:6" hidden="1">
      <c r="B160" s="418" t="s">
        <v>798</v>
      </c>
      <c r="C160" s="417" t="s">
        <v>796</v>
      </c>
      <c r="D160" s="420">
        <f>さいたま市窓断熱!T21</f>
        <v>0</v>
      </c>
      <c r="E160" s="420">
        <f>熊谷市窓断熱!T21</f>
        <v>0</v>
      </c>
      <c r="F160" s="420">
        <f>秩父市窓断熱!T21</f>
        <v>0</v>
      </c>
    </row>
    <row r="161" spans="2:6" hidden="1">
      <c r="B161" s="418" t="s">
        <v>799</v>
      </c>
      <c r="C161" s="417" t="s">
        <v>796</v>
      </c>
      <c r="D161" s="420">
        <f>さいたま市窓断熱!AB21</f>
        <v>0</v>
      </c>
      <c r="E161" s="420">
        <f>熊谷市窓断熱!AB21</f>
        <v>0</v>
      </c>
      <c r="F161" s="420">
        <f>秩父市窓断熱!AB21</f>
        <v>0</v>
      </c>
    </row>
    <row r="162" spans="2:6" hidden="1">
      <c r="B162" s="625" t="s">
        <v>800</v>
      </c>
      <c r="C162" s="372" t="s">
        <v>675</v>
      </c>
      <c r="D162" s="623">
        <f>さいたま市窓断熱!T20</f>
        <v>0</v>
      </c>
      <c r="E162" s="623">
        <f>熊谷市窓断熱!T20</f>
        <v>0</v>
      </c>
      <c r="F162" s="623">
        <f>秩父市窓断熱!T20</f>
        <v>0</v>
      </c>
    </row>
    <row r="163" spans="2:6" hidden="1">
      <c r="B163" s="626" t="s">
        <v>801</v>
      </c>
      <c r="C163" s="627" t="s">
        <v>675</v>
      </c>
      <c r="D163" s="623">
        <f>さいたま市窓断熱!AB20</f>
        <v>0</v>
      </c>
      <c r="E163" s="623">
        <f>熊谷市窓断熱!AB20</f>
        <v>0</v>
      </c>
      <c r="F163" s="623">
        <f>秩父市窓断熱!AB20</f>
        <v>0</v>
      </c>
    </row>
    <row r="164" spans="2:6" hidden="1"/>
    <row r="165" spans="2:6" ht="16.5" hidden="1">
      <c r="B165" s="417" t="s">
        <v>1022</v>
      </c>
    </row>
    <row r="166" spans="2:6" hidden="1">
      <c r="B166" s="417" t="s">
        <v>789</v>
      </c>
      <c r="C166" s="417" t="s">
        <v>790</v>
      </c>
      <c r="D166" s="417" t="s">
        <v>791</v>
      </c>
      <c r="E166" s="417" t="s">
        <v>792</v>
      </c>
      <c r="F166" s="417" t="s">
        <v>793</v>
      </c>
    </row>
    <row r="167" spans="2:6" hidden="1">
      <c r="B167" s="418" t="s">
        <v>794</v>
      </c>
      <c r="C167" s="417" t="s">
        <v>675</v>
      </c>
      <c r="D167" s="419">
        <f>さいたま市窓遮熱!E20</f>
        <v>0</v>
      </c>
      <c r="E167" s="419">
        <f>熊谷市窓遮熱!E20</f>
        <v>0</v>
      </c>
      <c r="F167" s="419">
        <f>秩父市窓遮熱!E20</f>
        <v>0</v>
      </c>
    </row>
    <row r="168" spans="2:6" hidden="1">
      <c r="B168" s="418" t="s">
        <v>795</v>
      </c>
      <c r="C168" s="417" t="s">
        <v>796</v>
      </c>
      <c r="D168" s="419">
        <f>さいたま市窓遮熱!E21</f>
        <v>0</v>
      </c>
      <c r="E168" s="419">
        <f>熊谷市窓遮熱!E21</f>
        <v>0</v>
      </c>
      <c r="F168" s="419">
        <f>秩父市窓遮熱!E21</f>
        <v>0</v>
      </c>
    </row>
    <row r="169" spans="2:6" hidden="1">
      <c r="B169" s="418" t="s">
        <v>797</v>
      </c>
      <c r="C169" s="417" t="s">
        <v>247</v>
      </c>
      <c r="D169" s="420" t="e">
        <f>(1-D171/D170)*100</f>
        <v>#DIV/0!</v>
      </c>
      <c r="E169" s="420" t="e">
        <f t="shared" ref="E169:F169" si="11">(1-E171/E170)*100</f>
        <v>#DIV/0!</v>
      </c>
      <c r="F169" s="420" t="e">
        <f t="shared" si="11"/>
        <v>#DIV/0!</v>
      </c>
    </row>
    <row r="170" spans="2:6" hidden="1">
      <c r="B170" s="418" t="s">
        <v>798</v>
      </c>
      <c r="C170" s="417" t="s">
        <v>796</v>
      </c>
      <c r="D170" s="420">
        <f>さいたま市窓遮熱!T21</f>
        <v>0</v>
      </c>
      <c r="E170" s="420">
        <f>熊谷市窓遮熱!T21</f>
        <v>0</v>
      </c>
      <c r="F170" s="420">
        <f>秩父市窓遮熱!T21</f>
        <v>0</v>
      </c>
    </row>
    <row r="171" spans="2:6" hidden="1">
      <c r="B171" s="418" t="s">
        <v>799</v>
      </c>
      <c r="C171" s="417" t="s">
        <v>796</v>
      </c>
      <c r="D171" s="420">
        <f>さいたま市窓遮熱!AB21</f>
        <v>0</v>
      </c>
      <c r="E171" s="420">
        <f>熊谷市窓遮熱!AB21</f>
        <v>0</v>
      </c>
      <c r="F171" s="420">
        <f>秩父市窓遮熱!AB21</f>
        <v>0</v>
      </c>
    </row>
    <row r="172" spans="2:6" hidden="1">
      <c r="B172" s="625" t="s">
        <v>800</v>
      </c>
      <c r="C172" s="372" t="s">
        <v>675</v>
      </c>
      <c r="D172" s="623">
        <f>さいたま市窓遮熱!T20</f>
        <v>0</v>
      </c>
      <c r="E172" s="623">
        <f>熊谷市窓遮熱!T20</f>
        <v>0</v>
      </c>
      <c r="F172" s="623">
        <f>秩父市窓遮熱!T20</f>
        <v>0</v>
      </c>
    </row>
    <row r="173" spans="2:6" hidden="1">
      <c r="B173" s="626" t="s">
        <v>801</v>
      </c>
      <c r="C173" s="627" t="s">
        <v>675</v>
      </c>
      <c r="D173" s="623">
        <f>さいたま市窓遮熱!AB20</f>
        <v>0</v>
      </c>
      <c r="E173" s="623">
        <f>熊谷市窓遮熱!AB20</f>
        <v>0</v>
      </c>
      <c r="F173" s="623">
        <f>秩父市窓遮熱!AB20</f>
        <v>0</v>
      </c>
    </row>
    <row r="174" spans="2:6" hidden="1"/>
  </sheetData>
  <sheetProtection algorithmName="SHA-512" hashValue="vXYm/oEufRm8z1EOTnd77PEOdlcqAPnAguPb0Q9CemctOWUlJ/FzlS5oOGn/O6/FyO7TL9tJdq4mRo7pnXXZ2Q==" saltValue="vcHjI8KEFpYF6tHNE2j6wQ==" spinCount="100000" sheet="1" objects="1" scenarios="1" formatCells="0"/>
  <mergeCells count="39">
    <mergeCell ref="B77:B84"/>
    <mergeCell ref="B75:E75"/>
    <mergeCell ref="O77:O84"/>
    <mergeCell ref="B37:E37"/>
    <mergeCell ref="I7:K7"/>
    <mergeCell ref="C10:K10"/>
    <mergeCell ref="O75:Q75"/>
    <mergeCell ref="C17:D17"/>
    <mergeCell ref="B27:D27"/>
    <mergeCell ref="B28:D28"/>
    <mergeCell ref="B26:D26"/>
    <mergeCell ref="D9:E9"/>
    <mergeCell ref="H9:K9"/>
    <mergeCell ref="B40:B47"/>
    <mergeCell ref="B48:B55"/>
    <mergeCell ref="B64:E64"/>
    <mergeCell ref="A1:L1"/>
    <mergeCell ref="B125:F125"/>
    <mergeCell ref="O89:Q89"/>
    <mergeCell ref="B102:G102"/>
    <mergeCell ref="O112:R112"/>
    <mergeCell ref="D113:F113"/>
    <mergeCell ref="D114:F114"/>
    <mergeCell ref="D115:F115"/>
    <mergeCell ref="D116:F116"/>
    <mergeCell ref="D118:F118"/>
    <mergeCell ref="D119:F119"/>
    <mergeCell ref="D120:F120"/>
    <mergeCell ref="D117:F117"/>
    <mergeCell ref="C8:K8"/>
    <mergeCell ref="C12:K12"/>
    <mergeCell ref="B106:D106"/>
    <mergeCell ref="O91:O98"/>
    <mergeCell ref="B105:D105"/>
    <mergeCell ref="O114:O121"/>
    <mergeCell ref="D112:F112"/>
    <mergeCell ref="B89:G89"/>
    <mergeCell ref="B113:B120"/>
    <mergeCell ref="B91:B98"/>
  </mergeCells>
  <phoneticPr fontId="1"/>
  <conditionalFormatting sqref="D65">
    <cfRule type="cellIs" dxfId="15" priority="16" operator="equal">
      <formula>3.91</formula>
    </cfRule>
  </conditionalFormatting>
  <conditionalFormatting sqref="H62">
    <cfRule type="expression" dxfId="14" priority="15">
      <formula>$D$65="3.94"</formula>
    </cfRule>
  </conditionalFormatting>
  <conditionalFormatting sqref="D69">
    <cfRule type="cellIs" dxfId="13" priority="12" operator="equal">
      <formula>0.7</formula>
    </cfRule>
  </conditionalFormatting>
  <conditionalFormatting sqref="D77:D84">
    <cfRule type="cellIs" dxfId="12" priority="2" operator="equal">
      <formula>1.18</formula>
    </cfRule>
    <cfRule type="expression" dxfId="11" priority="3">
      <formula>$P$34=TRUE</formula>
    </cfRule>
  </conditionalFormatting>
  <conditionalFormatting sqref="D91:D98">
    <cfRule type="cellIs" dxfId="10" priority="1" operator="equal">
      <formula>0.7</formula>
    </cfRule>
    <cfRule type="expression" dxfId="9" priority="10">
      <formula>$P$35=TRUE</formula>
    </cfRule>
  </conditionalFormatting>
  <conditionalFormatting sqref="D113:F120">
    <cfRule type="cellIs" dxfId="8" priority="9" operator="equal">
      <formula>"デフォルト値"</formula>
    </cfRule>
  </conditionalFormatting>
  <conditionalFormatting sqref="D39">
    <cfRule type="expression" dxfId="7" priority="8">
      <formula>$P$33=TRUE</formula>
    </cfRule>
  </conditionalFormatting>
  <conditionalFormatting sqref="D40:D47">
    <cfRule type="expression" dxfId="6" priority="6">
      <formula>$P$35=TRUE</formula>
    </cfRule>
    <cfRule type="expression" dxfId="5" priority="7">
      <formula>$P$34=TRUE</formula>
    </cfRule>
  </conditionalFormatting>
  <conditionalFormatting sqref="D48:D55">
    <cfRule type="expression" dxfId="4" priority="4">
      <formula>$P$37=TRUE</formula>
    </cfRule>
    <cfRule type="expression" dxfId="3" priority="5">
      <formula>$P$36=TRUE</formula>
    </cfRule>
  </conditionalFormatting>
  <dataValidations count="1">
    <dataValidation type="list" allowBlank="1" showInputMessage="1" showErrorMessage="1" sqref="D113:F120">
      <formula1>$B$103:$B$107</formula1>
    </dataValidation>
  </dataValidations>
  <pageMargins left="0.59055118110236227" right="0.39370078740157483" top="0.78740157480314965" bottom="0.39370078740157483" header="0" footer="0"/>
  <pageSetup paperSize="9" scale="92" orientation="portrait" r:id="rId1"/>
  <headerFooter>
    <oddHeader>&amp;L暑さ対策計算シート&amp;R埼玉県温暖化対策課</oddHeader>
  </headerFooter>
  <rowBreaks count="1" manualBreakCount="1">
    <brk id="58" max="16383" man="1"/>
  </rowBreaks>
  <colBreaks count="1" manualBreakCount="1">
    <brk id="12" max="13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30</xdr:row>
                    <xdr:rowOff>114300</xdr:rowOff>
                  </from>
                  <to>
                    <xdr:col>2</xdr:col>
                    <xdr:colOff>133350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locked="0" defaultSize="0" autoFill="0" autoLine="0" autoPict="0">
                <anchor moveWithCells="1">
                  <from>
                    <xdr:col>2</xdr:col>
                    <xdr:colOff>390525</xdr:colOff>
                    <xdr:row>30</xdr:row>
                    <xdr:rowOff>104775</xdr:rowOff>
                  </from>
                  <to>
                    <xdr:col>4</xdr:col>
                    <xdr:colOff>295275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locked="0" defaultSize="0" autoFill="0" autoLine="0" autoPict="0">
                <anchor moveWithCells="1">
                  <from>
                    <xdr:col>6</xdr:col>
                    <xdr:colOff>428625</xdr:colOff>
                    <xdr:row>30</xdr:row>
                    <xdr:rowOff>104775</xdr:rowOff>
                  </from>
                  <to>
                    <xdr:col>8</xdr:col>
                    <xdr:colOff>438150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locked="0" defaultSize="0" autoFill="0" autoLine="0" autoPict="0">
                <anchor moveWithCells="1">
                  <from>
                    <xdr:col>8</xdr:col>
                    <xdr:colOff>514350</xdr:colOff>
                    <xdr:row>30</xdr:row>
                    <xdr:rowOff>104775</xdr:rowOff>
                  </from>
                  <to>
                    <xdr:col>11</xdr:col>
                    <xdr:colOff>133350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30</xdr:row>
                    <xdr:rowOff>114300</xdr:rowOff>
                  </from>
                  <to>
                    <xdr:col>6</xdr:col>
                    <xdr:colOff>485775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この欄はプルダウンから選択します。" prompt="市町村名をプルダウンから選択する">
          <x14:formula1>
            <xm:f>区域!$B$3:$B$65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AA157"/>
  <sheetViews>
    <sheetView view="pageBreakPreview" zoomScale="85" zoomScaleNormal="100" zoomScaleSheetLayoutView="85" workbookViewId="0">
      <selection activeCell="AO35" sqref="AO35"/>
    </sheetView>
  </sheetViews>
  <sheetFormatPr defaultColWidth="9" defaultRowHeight="14.25"/>
  <cols>
    <col min="1" max="1" width="1" style="434" customWidth="1"/>
    <col min="2" max="2" width="2.875" style="434" customWidth="1"/>
    <col min="3" max="3" width="5.625" style="434" customWidth="1"/>
    <col min="4" max="4" width="6.125" style="434" customWidth="1"/>
    <col min="5" max="5" width="7.375" style="434" customWidth="1"/>
    <col min="6" max="6" width="9" style="434"/>
    <col min="7" max="7" width="10.375" style="434" customWidth="1"/>
    <col min="8" max="8" width="9.625" style="434" customWidth="1"/>
    <col min="9" max="9" width="10.5" style="434" customWidth="1"/>
    <col min="10" max="10" width="9.25" style="434" bestFit="1" customWidth="1"/>
    <col min="11" max="11" width="10.5" style="434" customWidth="1"/>
    <col min="12" max="12" width="9.25" style="434" bestFit="1" customWidth="1"/>
    <col min="13" max="13" width="7.125" style="434" customWidth="1"/>
    <col min="14" max="14" width="7.125" style="434" hidden="1" customWidth="1"/>
    <col min="15" max="16" width="4.75" style="434" hidden="1" customWidth="1"/>
    <col min="17" max="17" width="9" style="434" customWidth="1"/>
    <col min="18" max="27" width="9" style="434" hidden="1" customWidth="1"/>
    <col min="28" max="16384" width="9" style="434"/>
  </cols>
  <sheetData>
    <row r="1" spans="2:24" s="609" customFormat="1" ht="3" customHeight="1">
      <c r="M1" s="609" t="s">
        <v>905</v>
      </c>
      <c r="N1" s="609" t="s">
        <v>906</v>
      </c>
    </row>
    <row r="2" spans="2:24" ht="27" customHeight="1" thickBot="1">
      <c r="B2" s="1331" t="s">
        <v>837</v>
      </c>
      <c r="C2" s="1331"/>
      <c r="D2" s="1331"/>
      <c r="E2" s="1331"/>
    </row>
    <row r="3" spans="2:24" ht="6" hidden="1" customHeight="1" thickBot="1">
      <c r="B3" s="435"/>
      <c r="C3" s="435"/>
      <c r="D3" s="435"/>
      <c r="E3" s="436"/>
    </row>
    <row r="4" spans="2:24" ht="15.75" customHeight="1" thickBot="1">
      <c r="B4" s="437"/>
      <c r="C4" s="437"/>
      <c r="D4" s="437"/>
      <c r="E4" s="437"/>
      <c r="F4" s="437"/>
      <c r="G4" s="437"/>
      <c r="H4" s="437"/>
      <c r="I4" s="437"/>
      <c r="J4" s="438" t="s">
        <v>838</v>
      </c>
      <c r="K4" s="1456" t="str">
        <f>入力!I7</f>
        <v>令和２年　　月　　日</v>
      </c>
      <c r="L4" s="1456"/>
      <c r="M4" s="1456"/>
      <c r="N4" s="1456"/>
      <c r="O4" s="1457"/>
      <c r="P4" s="1457"/>
      <c r="Q4" s="1458"/>
    </row>
    <row r="5" spans="2:24" s="439" customFormat="1" ht="16.149999999999999" customHeight="1">
      <c r="B5" s="1472" t="s">
        <v>839</v>
      </c>
      <c r="C5" s="1473"/>
      <c r="D5" s="1474"/>
      <c r="E5" s="1398">
        <f>入力!C8</f>
        <v>0</v>
      </c>
      <c r="F5" s="1399"/>
      <c r="G5" s="1399"/>
      <c r="H5" s="1399"/>
      <c r="I5" s="1399"/>
      <c r="J5" s="1394"/>
      <c r="K5" s="1394"/>
      <c r="L5" s="1394"/>
      <c r="M5" s="1394"/>
      <c r="N5" s="1394"/>
      <c r="O5" s="1394"/>
      <c r="P5" s="1394"/>
      <c r="Q5" s="1397"/>
    </row>
    <row r="6" spans="2:24" s="439" customFormat="1" ht="16.149999999999999" customHeight="1">
      <c r="B6" s="1469" t="s">
        <v>840</v>
      </c>
      <c r="C6" s="1470"/>
      <c r="D6" s="1471"/>
      <c r="E6" s="1393" t="str">
        <f>"埼玉県"&amp;入力!D9</f>
        <v>埼玉県</v>
      </c>
      <c r="F6" s="1394"/>
      <c r="G6" s="1395"/>
      <c r="H6" s="1359" t="str">
        <f>入力!G9</f>
        <v>対象の用途</v>
      </c>
      <c r="I6" s="1396"/>
      <c r="J6" s="1393">
        <f>入力!H9</f>
        <v>0</v>
      </c>
      <c r="K6" s="1394"/>
      <c r="L6" s="1394"/>
      <c r="M6" s="1394"/>
      <c r="N6" s="1394"/>
      <c r="O6" s="1394"/>
      <c r="P6" s="1394"/>
      <c r="Q6" s="1397"/>
      <c r="X6" s="439" t="e">
        <f>VLOOKUP(入力!D9,区域!B2:C65,2,FALSE)</f>
        <v>#N/A</v>
      </c>
    </row>
    <row r="7" spans="2:24" s="439" customFormat="1" ht="16.149999999999999" customHeight="1">
      <c r="B7" s="1382" t="s">
        <v>841</v>
      </c>
      <c r="C7" s="1383"/>
      <c r="D7" s="1384"/>
      <c r="E7" s="1385">
        <f>入力!C17</f>
        <v>0</v>
      </c>
      <c r="F7" s="1386"/>
      <c r="G7" s="440" t="s">
        <v>675</v>
      </c>
      <c r="H7" s="441" t="s">
        <v>842</v>
      </c>
      <c r="I7" s="442" t="e">
        <f>X6</f>
        <v>#N/A</v>
      </c>
      <c r="J7" s="443" t="s">
        <v>694</v>
      </c>
      <c r="K7" s="1475" t="str">
        <f>入力!$R$37</f>
        <v xml:space="preserve">　　    </v>
      </c>
      <c r="L7" s="1475"/>
      <c r="M7" s="1475"/>
      <c r="N7" s="1475"/>
      <c r="O7" s="1476"/>
      <c r="P7" s="1476"/>
      <c r="Q7" s="1477"/>
      <c r="X7" s="444" t="e">
        <f>MATCH(X6,区域!D3:D5,0)</f>
        <v>#N/A</v>
      </c>
    </row>
    <row r="8" spans="2:24" s="439" customFormat="1" ht="16.149999999999999" customHeight="1" thickBot="1">
      <c r="B8" s="1436" t="s">
        <v>843</v>
      </c>
      <c r="C8" s="1437"/>
      <c r="D8" s="1438"/>
      <c r="E8" s="442">
        <f>入力!E27</f>
        <v>0</v>
      </c>
      <c r="F8" s="440" t="s">
        <v>844</v>
      </c>
      <c r="G8" s="445"/>
      <c r="H8" s="446">
        <f>入力!E26</f>
        <v>0</v>
      </c>
      <c r="I8" s="445" t="s">
        <v>845</v>
      </c>
      <c r="J8" s="445"/>
      <c r="K8" s="447">
        <f>入力!E28</f>
        <v>0</v>
      </c>
      <c r="L8" s="445" t="s">
        <v>687</v>
      </c>
      <c r="M8" s="445"/>
      <c r="N8" s="445"/>
      <c r="O8" s="445"/>
      <c r="P8" s="445"/>
      <c r="Q8" s="448"/>
    </row>
    <row r="9" spans="2:24">
      <c r="B9" s="449"/>
      <c r="C9" s="450"/>
      <c r="D9" s="450"/>
      <c r="E9" s="450"/>
      <c r="F9" s="450"/>
      <c r="G9" s="450"/>
      <c r="H9" s="450"/>
      <c r="I9" s="450"/>
      <c r="J9" s="451"/>
      <c r="K9" s="452" t="s">
        <v>846</v>
      </c>
      <c r="L9" s="1387" t="e">
        <f>HLOOKUP(X6,入力!D$126:F$131,5,FALSE)</f>
        <v>#N/A</v>
      </c>
      <c r="M9" s="1387"/>
      <c r="N9" s="1387"/>
      <c r="O9" s="1388"/>
      <c r="P9" s="1388"/>
      <c r="Q9" s="1389"/>
    </row>
    <row r="10" spans="2:24">
      <c r="B10" s="453" t="s">
        <v>847</v>
      </c>
      <c r="C10" s="454"/>
      <c r="D10" s="454"/>
      <c r="E10" s="443" t="s">
        <v>679</v>
      </c>
      <c r="F10" s="455">
        <f>入力!C22</f>
        <v>3.55</v>
      </c>
      <c r="G10" s="443" t="s">
        <v>848</v>
      </c>
      <c r="H10" s="456">
        <f>I112</f>
        <v>0</v>
      </c>
      <c r="I10" s="457" t="s">
        <v>12</v>
      </c>
      <c r="J10" s="449"/>
      <c r="K10" s="458" t="s">
        <v>849</v>
      </c>
      <c r="L10" s="1390" t="e">
        <f>HLOOKUP(X6,入力!D$126:F$131,6,FALSE)</f>
        <v>#N/A</v>
      </c>
      <c r="M10" s="1390"/>
      <c r="N10" s="1390"/>
      <c r="O10" s="1391"/>
      <c r="P10" s="1391"/>
      <c r="Q10" s="1392"/>
    </row>
    <row r="11" spans="2:24" ht="15">
      <c r="B11" s="449"/>
      <c r="C11" s="454"/>
      <c r="D11" s="454"/>
      <c r="E11" s="443" t="s">
        <v>680</v>
      </c>
      <c r="F11" s="455">
        <f>入力!C23</f>
        <v>3.95</v>
      </c>
      <c r="G11" s="443" t="s">
        <v>850</v>
      </c>
      <c r="H11" s="456">
        <f>M112</f>
        <v>0</v>
      </c>
      <c r="I11" s="457" t="s">
        <v>12</v>
      </c>
      <c r="J11" s="459"/>
      <c r="K11" s="460" t="s">
        <v>851</v>
      </c>
      <c r="L11" s="1390" t="e">
        <f>HLOOKUP(X6,入力!D$126:F$129,3,FALSE)</f>
        <v>#N/A</v>
      </c>
      <c r="M11" s="1390"/>
      <c r="N11" s="1390"/>
      <c r="O11" s="1391"/>
      <c r="P11" s="1391"/>
      <c r="Q11" s="1392"/>
    </row>
    <row r="12" spans="2:24" ht="15.75" thickBot="1">
      <c r="B12" s="449"/>
      <c r="C12" s="454"/>
      <c r="D12" s="454"/>
      <c r="E12" s="443"/>
      <c r="F12" s="443"/>
      <c r="G12" s="443"/>
      <c r="H12" s="443"/>
      <c r="I12" s="457"/>
      <c r="J12" s="459"/>
      <c r="K12" s="460" t="s">
        <v>852</v>
      </c>
      <c r="L12" s="1459" t="e">
        <f>HLOOKUP(X6,入力!D126:F129,2,FALSE)</f>
        <v>#N/A</v>
      </c>
      <c r="M12" s="1459"/>
      <c r="N12" s="1459"/>
      <c r="O12" s="1460"/>
      <c r="P12" s="1460"/>
      <c r="Q12" s="1461"/>
    </row>
    <row r="13" spans="2:24" ht="15.75" thickBot="1">
      <c r="B13" s="461" t="s">
        <v>853</v>
      </c>
      <c r="C13" s="462"/>
      <c r="D13" s="462"/>
      <c r="E13" s="463">
        <f>入力!D65</f>
        <v>3.91</v>
      </c>
      <c r="F13" s="464" t="s">
        <v>854</v>
      </c>
      <c r="G13" s="465" t="s">
        <v>855</v>
      </c>
      <c r="H13" s="462"/>
      <c r="I13" s="466">
        <f>入力!$D$69</f>
        <v>0.7</v>
      </c>
      <c r="J13" s="467"/>
      <c r="K13" s="468" t="s">
        <v>856</v>
      </c>
      <c r="L13" s="1453" t="e">
        <f>HLOOKUP(X6,入力!D126:F129,4,FALSE)</f>
        <v>#N/A</v>
      </c>
      <c r="M13" s="1453"/>
      <c r="N13" s="1453"/>
      <c r="O13" s="1454"/>
      <c r="P13" s="1454"/>
      <c r="Q13" s="1455"/>
    </row>
    <row r="14" spans="2:24">
      <c r="B14" s="1439" t="s">
        <v>857</v>
      </c>
      <c r="C14" s="1440"/>
      <c r="D14" s="1440"/>
      <c r="E14" s="1440"/>
      <c r="F14" s="1440"/>
      <c r="G14" s="1441"/>
      <c r="H14" s="1445" t="s">
        <v>858</v>
      </c>
      <c r="I14" s="1446"/>
      <c r="J14" s="1447"/>
      <c r="K14" s="1447"/>
      <c r="L14" s="1447"/>
      <c r="M14" s="1447"/>
      <c r="N14" s="1447"/>
      <c r="O14" s="1448"/>
      <c r="P14" s="1448"/>
      <c r="Q14" s="1449"/>
    </row>
    <row r="15" spans="2:24">
      <c r="B15" s="1451" t="s">
        <v>907</v>
      </c>
      <c r="C15" s="1452"/>
      <c r="D15" s="1442" t="s">
        <v>908</v>
      </c>
      <c r="E15" s="1443"/>
      <c r="F15" s="1444"/>
      <c r="G15" s="610" t="s">
        <v>909</v>
      </c>
      <c r="H15" s="1442" t="str">
        <f>入力!D112</f>
        <v>窓対策の内容</v>
      </c>
      <c r="I15" s="1443"/>
      <c r="J15" s="1443"/>
      <c r="K15" s="1444"/>
      <c r="L15" s="611" t="s">
        <v>910</v>
      </c>
      <c r="M15" s="611" t="s">
        <v>911</v>
      </c>
      <c r="N15" s="612" t="str">
        <f>入力!G112</f>
        <v>熱貫流率</v>
      </c>
      <c r="O15" s="613"/>
      <c r="P15" s="614"/>
      <c r="Q15" s="615" t="str">
        <f>入力!H112</f>
        <v>日射熱取得率</v>
      </c>
    </row>
    <row r="16" spans="2:24">
      <c r="B16" s="1336" t="s">
        <v>700</v>
      </c>
      <c r="C16" s="1341"/>
      <c r="D16" s="1465">
        <f>入力!D77</f>
        <v>1.18</v>
      </c>
      <c r="E16" s="1466"/>
      <c r="F16" s="471" t="s">
        <v>860</v>
      </c>
      <c r="G16" s="446">
        <f>入力!D91</f>
        <v>0.7</v>
      </c>
      <c r="H16" s="1433" t="str">
        <f>入力!D113</f>
        <v>デフォルト値</v>
      </c>
      <c r="I16" s="1434"/>
      <c r="J16" s="1434"/>
      <c r="K16" s="1435"/>
      <c r="L16" s="446">
        <f>入力!G113</f>
        <v>5.95</v>
      </c>
      <c r="M16" s="446">
        <f>入力!H113</f>
        <v>0.876</v>
      </c>
      <c r="N16" s="472">
        <f>入力!G113</f>
        <v>5.95</v>
      </c>
      <c r="O16" s="472"/>
      <c r="P16" s="473"/>
      <c r="Q16" s="474">
        <f>入力!H113</f>
        <v>0.876</v>
      </c>
    </row>
    <row r="17" spans="2:17">
      <c r="B17" s="1336" t="s">
        <v>701</v>
      </c>
      <c r="C17" s="1341"/>
      <c r="D17" s="1465">
        <f>入力!D78</f>
        <v>2</v>
      </c>
      <c r="E17" s="1466"/>
      <c r="F17" s="471" t="s">
        <v>861</v>
      </c>
      <c r="G17" s="446">
        <f>入力!D92</f>
        <v>0.7</v>
      </c>
      <c r="H17" s="1433" t="str">
        <f>入力!D114</f>
        <v>デフォルト値</v>
      </c>
      <c r="I17" s="1434"/>
      <c r="J17" s="1434"/>
      <c r="K17" s="1435"/>
      <c r="L17" s="446">
        <f>入力!G114</f>
        <v>5.95</v>
      </c>
      <c r="M17" s="446">
        <f>入力!H114</f>
        <v>0.876</v>
      </c>
      <c r="N17" s="472">
        <f>入力!G114</f>
        <v>5.95</v>
      </c>
      <c r="O17" s="472"/>
      <c r="P17" s="473"/>
      <c r="Q17" s="474">
        <f>入力!H114</f>
        <v>0.876</v>
      </c>
    </row>
    <row r="18" spans="2:17">
      <c r="B18" s="1336" t="s">
        <v>702</v>
      </c>
      <c r="C18" s="1341"/>
      <c r="D18" s="1465">
        <f>入力!D79</f>
        <v>1.18</v>
      </c>
      <c r="E18" s="1466"/>
      <c r="F18" s="471" t="s">
        <v>862</v>
      </c>
      <c r="G18" s="446">
        <f>入力!D93</f>
        <v>0.7</v>
      </c>
      <c r="H18" s="1433" t="str">
        <f>入力!D115</f>
        <v>デフォルト値</v>
      </c>
      <c r="I18" s="1434"/>
      <c r="J18" s="1434"/>
      <c r="K18" s="1435"/>
      <c r="L18" s="446">
        <f>入力!G115</f>
        <v>5.95</v>
      </c>
      <c r="M18" s="446">
        <f>入力!H115</f>
        <v>0.876</v>
      </c>
      <c r="N18" s="472">
        <f>入力!G115</f>
        <v>5.95</v>
      </c>
      <c r="O18" s="472"/>
      <c r="P18" s="473"/>
      <c r="Q18" s="474">
        <f>入力!H115</f>
        <v>0.876</v>
      </c>
    </row>
    <row r="19" spans="2:17">
      <c r="B19" s="1336" t="s">
        <v>703</v>
      </c>
      <c r="C19" s="1341"/>
      <c r="D19" s="1465">
        <f>入力!D80</f>
        <v>1.18</v>
      </c>
      <c r="E19" s="1466"/>
      <c r="F19" s="471" t="s">
        <v>863</v>
      </c>
      <c r="G19" s="446">
        <f>入力!D94</f>
        <v>0.7</v>
      </c>
      <c r="H19" s="1433" t="str">
        <f>入力!D116</f>
        <v>デフォルト値</v>
      </c>
      <c r="I19" s="1434"/>
      <c r="J19" s="1434"/>
      <c r="K19" s="1435"/>
      <c r="L19" s="446">
        <f>入力!G116</f>
        <v>5.95</v>
      </c>
      <c r="M19" s="446">
        <f>入力!H116</f>
        <v>0.876</v>
      </c>
      <c r="N19" s="472">
        <f>入力!G116</f>
        <v>5.95</v>
      </c>
      <c r="O19" s="472"/>
      <c r="P19" s="473"/>
      <c r="Q19" s="474">
        <f>入力!H116</f>
        <v>0.876</v>
      </c>
    </row>
    <row r="20" spans="2:17">
      <c r="B20" s="1336" t="s">
        <v>704</v>
      </c>
      <c r="C20" s="1341"/>
      <c r="D20" s="1465">
        <f>入力!D81</f>
        <v>1.18</v>
      </c>
      <c r="E20" s="1466"/>
      <c r="F20" s="471" t="s">
        <v>864</v>
      </c>
      <c r="G20" s="446">
        <f>入力!D95</f>
        <v>0.7</v>
      </c>
      <c r="H20" s="1433" t="str">
        <f>入力!D117</f>
        <v>デフォルト値</v>
      </c>
      <c r="I20" s="1434"/>
      <c r="J20" s="1434"/>
      <c r="K20" s="1435"/>
      <c r="L20" s="446">
        <f>入力!G117</f>
        <v>5.95</v>
      </c>
      <c r="M20" s="446">
        <f>入力!H117</f>
        <v>0.876</v>
      </c>
      <c r="N20" s="472">
        <f>入力!G117</f>
        <v>5.95</v>
      </c>
      <c r="O20" s="472"/>
      <c r="P20" s="473"/>
      <c r="Q20" s="474">
        <f>入力!H117</f>
        <v>0.876</v>
      </c>
    </row>
    <row r="21" spans="2:17">
      <c r="B21" s="1336" t="s">
        <v>705</v>
      </c>
      <c r="C21" s="1341"/>
      <c r="D21" s="1465">
        <f>入力!D82</f>
        <v>1.18</v>
      </c>
      <c r="E21" s="1466"/>
      <c r="F21" s="471" t="s">
        <v>863</v>
      </c>
      <c r="G21" s="446">
        <f>入力!D96</f>
        <v>0.7</v>
      </c>
      <c r="H21" s="1433" t="str">
        <f>入力!D118</f>
        <v>デフォルト値</v>
      </c>
      <c r="I21" s="1434"/>
      <c r="J21" s="1434"/>
      <c r="K21" s="1435"/>
      <c r="L21" s="446">
        <f>入力!G118</f>
        <v>5.95</v>
      </c>
      <c r="M21" s="446">
        <f>入力!H118</f>
        <v>0.876</v>
      </c>
      <c r="N21" s="472">
        <f>入力!G118</f>
        <v>5.95</v>
      </c>
      <c r="O21" s="472"/>
      <c r="P21" s="473"/>
      <c r="Q21" s="474">
        <f>入力!H118</f>
        <v>0.876</v>
      </c>
    </row>
    <row r="22" spans="2:17">
      <c r="B22" s="1336" t="s">
        <v>706</v>
      </c>
      <c r="C22" s="1341"/>
      <c r="D22" s="1465">
        <f>入力!D83</f>
        <v>1.18</v>
      </c>
      <c r="E22" s="1466"/>
      <c r="F22" s="471" t="s">
        <v>865</v>
      </c>
      <c r="G22" s="446">
        <f>入力!D97</f>
        <v>0.7</v>
      </c>
      <c r="H22" s="1433" t="str">
        <f>入力!D119</f>
        <v>デフォルト値</v>
      </c>
      <c r="I22" s="1434"/>
      <c r="J22" s="1434"/>
      <c r="K22" s="1435"/>
      <c r="L22" s="446">
        <f>入力!G119</f>
        <v>5.95</v>
      </c>
      <c r="M22" s="446">
        <f>入力!H119</f>
        <v>0.876</v>
      </c>
      <c r="N22" s="472">
        <f>入力!G119</f>
        <v>5.95</v>
      </c>
      <c r="O22" s="472"/>
      <c r="P22" s="473"/>
      <c r="Q22" s="474">
        <f>入力!H119</f>
        <v>0.876</v>
      </c>
    </row>
    <row r="23" spans="2:17" ht="15" thickBot="1">
      <c r="B23" s="1337" t="s">
        <v>707</v>
      </c>
      <c r="C23" s="1342"/>
      <c r="D23" s="1467">
        <f>入力!D84</f>
        <v>1.18</v>
      </c>
      <c r="E23" s="1468"/>
      <c r="F23" s="475" t="s">
        <v>861</v>
      </c>
      <c r="G23" s="476">
        <f>入力!D98</f>
        <v>0.7</v>
      </c>
      <c r="H23" s="1430" t="str">
        <f>入力!D120</f>
        <v>デフォルト値</v>
      </c>
      <c r="I23" s="1431"/>
      <c r="J23" s="1431"/>
      <c r="K23" s="1432"/>
      <c r="L23" s="476">
        <f>入力!G120</f>
        <v>5.95</v>
      </c>
      <c r="M23" s="476">
        <f>入力!H120</f>
        <v>0.876</v>
      </c>
      <c r="N23" s="477">
        <f>入力!G120</f>
        <v>5.95</v>
      </c>
      <c r="O23" s="477"/>
      <c r="P23" s="478"/>
      <c r="Q23" s="479">
        <f>入力!H120</f>
        <v>0.876</v>
      </c>
    </row>
    <row r="24" spans="2:17" ht="15" customHeight="1">
      <c r="B24" s="480"/>
      <c r="C24" s="481"/>
      <c r="D24" s="480"/>
      <c r="E24" s="482"/>
      <c r="F24" s="482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</row>
    <row r="25" spans="2:17" ht="18.75" thickBot="1">
      <c r="B25" s="1450" t="s">
        <v>866</v>
      </c>
      <c r="C25" s="1450"/>
      <c r="D25" s="1450"/>
      <c r="E25" s="1450"/>
      <c r="F25" s="1450"/>
      <c r="G25" s="1450"/>
      <c r="H25" s="1450"/>
      <c r="I25" s="1450"/>
      <c r="J25" s="1450"/>
      <c r="K25" s="1450"/>
      <c r="L25" s="1450"/>
      <c r="M25" s="1450"/>
      <c r="N25" s="1450"/>
      <c r="O25" s="1450"/>
      <c r="P25" s="1450"/>
      <c r="Q25" s="1450"/>
    </row>
    <row r="26" spans="2:17">
      <c r="B26" s="1335" t="s">
        <v>867</v>
      </c>
      <c r="C26" s="1340"/>
      <c r="D26" s="1340" t="s">
        <v>868</v>
      </c>
      <c r="E26" s="1340"/>
      <c r="F26" s="1354"/>
      <c r="G26" s="1355" t="s">
        <v>869</v>
      </c>
      <c r="H26" s="1356"/>
      <c r="I26" s="1356"/>
      <c r="J26" s="1356"/>
      <c r="K26" s="1356"/>
      <c r="L26" s="1357"/>
      <c r="M26" s="1335" t="s">
        <v>870</v>
      </c>
      <c r="N26" s="1358"/>
      <c r="O26" s="1358"/>
      <c r="P26" s="1358"/>
      <c r="Q26" s="1343"/>
    </row>
    <row r="27" spans="2:17">
      <c r="B27" s="1336"/>
      <c r="C27" s="1341"/>
      <c r="D27" s="1341" t="s">
        <v>695</v>
      </c>
      <c r="E27" s="1345" t="s">
        <v>871</v>
      </c>
      <c r="F27" s="1359" t="s">
        <v>859</v>
      </c>
      <c r="G27" s="1360" t="s">
        <v>872</v>
      </c>
      <c r="H27" s="1349"/>
      <c r="I27" s="1359" t="s">
        <v>873</v>
      </c>
      <c r="J27" s="1349"/>
      <c r="K27" s="1359" t="s">
        <v>874</v>
      </c>
      <c r="L27" s="1361"/>
      <c r="M27" s="1336" t="s">
        <v>875</v>
      </c>
      <c r="N27" s="1362" t="s">
        <v>876</v>
      </c>
      <c r="O27" s="1329" t="s">
        <v>877</v>
      </c>
      <c r="P27" s="1332" t="s">
        <v>878</v>
      </c>
      <c r="Q27" s="1334" t="s">
        <v>870</v>
      </c>
    </row>
    <row r="28" spans="2:17">
      <c r="B28" s="1336"/>
      <c r="C28" s="1341"/>
      <c r="D28" s="1341"/>
      <c r="E28" s="1345"/>
      <c r="F28" s="1359"/>
      <c r="G28" s="483" t="s">
        <v>879</v>
      </c>
      <c r="H28" s="484" t="s">
        <v>869</v>
      </c>
      <c r="I28" s="484" t="s">
        <v>879</v>
      </c>
      <c r="J28" s="484" t="s">
        <v>869</v>
      </c>
      <c r="K28" s="484" t="s">
        <v>879</v>
      </c>
      <c r="L28" s="485" t="s">
        <v>869</v>
      </c>
      <c r="M28" s="1336"/>
      <c r="N28" s="1328"/>
      <c r="O28" s="1330"/>
      <c r="P28" s="1332"/>
      <c r="Q28" s="1334"/>
    </row>
    <row r="29" spans="2:17" ht="17.25" thickBot="1">
      <c r="B29" s="1337"/>
      <c r="C29" s="1342"/>
      <c r="D29" s="1342"/>
      <c r="E29" s="486" t="s">
        <v>880</v>
      </c>
      <c r="F29" s="487" t="s">
        <v>881</v>
      </c>
      <c r="G29" s="488" t="s">
        <v>811</v>
      </c>
      <c r="H29" s="486" t="s">
        <v>58</v>
      </c>
      <c r="I29" s="486" t="s">
        <v>811</v>
      </c>
      <c r="J29" s="486" t="s">
        <v>58</v>
      </c>
      <c r="K29" s="486" t="s">
        <v>811</v>
      </c>
      <c r="L29" s="489" t="s">
        <v>59</v>
      </c>
      <c r="M29" s="488" t="s">
        <v>882</v>
      </c>
      <c r="N29" s="490" t="s">
        <v>883</v>
      </c>
      <c r="O29" s="490" t="s">
        <v>883</v>
      </c>
      <c r="P29" s="486" t="s">
        <v>813</v>
      </c>
      <c r="Q29" s="489" t="s">
        <v>59</v>
      </c>
    </row>
    <row r="30" spans="2:17" ht="15" customHeight="1" thickBot="1">
      <c r="B30" s="1210" t="s">
        <v>884</v>
      </c>
      <c r="C30" s="491" t="s">
        <v>697</v>
      </c>
      <c r="D30" s="492" t="s">
        <v>885</v>
      </c>
      <c r="E30" s="493">
        <f>入力!N39</f>
        <v>0</v>
      </c>
      <c r="F30" s="494">
        <f>熱貫流率計算!H9</f>
        <v>3.91</v>
      </c>
      <c r="G30" s="495">
        <f>'外壁実効温度差（ETD)一覧表'!L21</f>
        <v>7.0999999999999979</v>
      </c>
      <c r="H30" s="496">
        <f>G30*F30*E30</f>
        <v>0</v>
      </c>
      <c r="I30" s="497">
        <f>'外壁実効温度差（ETD)一覧表'!O21</f>
        <v>16.099999999999998</v>
      </c>
      <c r="J30" s="496">
        <f>I30*F30*E30</f>
        <v>0</v>
      </c>
      <c r="K30" s="498">
        <f>'外壁実効温度差（ETD)一覧表'!R21</f>
        <v>23.099999999999998</v>
      </c>
      <c r="L30" s="499">
        <f>K30*F30*E30</f>
        <v>0</v>
      </c>
      <c r="M30" s="500">
        <f>20--1.5</f>
        <v>21.5</v>
      </c>
      <c r="N30" s="501">
        <v>1</v>
      </c>
      <c r="O30" s="502">
        <f>'熱負荷計算シート (2)'!N7</f>
        <v>1</v>
      </c>
      <c r="P30" s="503">
        <f>'熱負荷計算シート (2)'!M7</f>
        <v>21.5</v>
      </c>
      <c r="Q30" s="504">
        <f>M30*F30*E30*N30</f>
        <v>0</v>
      </c>
    </row>
    <row r="31" spans="2:17">
      <c r="B31" s="1211"/>
      <c r="C31" s="1335" t="s">
        <v>699</v>
      </c>
      <c r="D31" s="462" t="s">
        <v>700</v>
      </c>
      <c r="E31" s="463">
        <f>入力!N40</f>
        <v>0</v>
      </c>
      <c r="F31" s="505">
        <f>温度条件他根拠!C33</f>
        <v>1.18</v>
      </c>
      <c r="G31" s="506">
        <f>'外壁実効温度差（ETD)一覧表'!L22</f>
        <v>3.0999999999999979</v>
      </c>
      <c r="H31" s="507">
        <f t="shared" ref="H31:H47" si="0">G31*F31*E31</f>
        <v>0</v>
      </c>
      <c r="I31" s="508">
        <f>'外壁実効温度差（ETD)一覧表'!O22</f>
        <v>4.0999999999999979</v>
      </c>
      <c r="J31" s="507">
        <f>I31*F31*E31</f>
        <v>0</v>
      </c>
      <c r="K31" s="509">
        <f>'外壁実効温度差（ETD)一覧表'!R22</f>
        <v>6.0999999999999979</v>
      </c>
      <c r="L31" s="510">
        <f t="shared" ref="L31:L47" si="1">K31*F31*E31</f>
        <v>0</v>
      </c>
      <c r="M31" s="511">
        <f t="shared" ref="M31:M47" si="2">20--1.5</f>
        <v>21.5</v>
      </c>
      <c r="N31" s="512">
        <v>1.1000000000000001</v>
      </c>
      <c r="O31" s="513">
        <f>'熱負荷計算シート (2)'!N8</f>
        <v>1.1000000000000001</v>
      </c>
      <c r="P31" s="514">
        <f>'熱負荷計算シート (2)'!M8</f>
        <v>21.5</v>
      </c>
      <c r="Q31" s="510">
        <f t="shared" ref="Q31:Q47" si="3">M31*F31*E31*N31</f>
        <v>0</v>
      </c>
    </row>
    <row r="32" spans="2:17">
      <c r="B32" s="1211"/>
      <c r="C32" s="1336"/>
      <c r="D32" s="469" t="s">
        <v>701</v>
      </c>
      <c r="E32" s="446">
        <f>入力!N41</f>
        <v>0</v>
      </c>
      <c r="F32" s="515">
        <f>温度条件他根拠!$C$33</f>
        <v>1.18</v>
      </c>
      <c r="G32" s="516">
        <f>'外壁実効温度差（ETD)一覧表'!L23</f>
        <v>7.0999999999999979</v>
      </c>
      <c r="H32" s="517">
        <f t="shared" si="0"/>
        <v>0</v>
      </c>
      <c r="I32" s="518">
        <f>'外壁実効温度差（ETD)一覧表'!O23</f>
        <v>9.0999999999999979</v>
      </c>
      <c r="J32" s="517">
        <f>I32*F32*E32</f>
        <v>0</v>
      </c>
      <c r="K32" s="519">
        <f>'外壁実効温度差（ETD)一覧表'!R23</f>
        <v>9.0999999999999979</v>
      </c>
      <c r="L32" s="520">
        <f t="shared" si="1"/>
        <v>0</v>
      </c>
      <c r="M32" s="521">
        <f t="shared" si="2"/>
        <v>21.5</v>
      </c>
      <c r="N32" s="473">
        <v>1.05</v>
      </c>
      <c r="O32" s="522">
        <f>'熱負荷計算シート (2)'!N9</f>
        <v>1.05</v>
      </c>
      <c r="P32" s="523">
        <f>'熱負荷計算シート (2)'!M9</f>
        <v>21.5</v>
      </c>
      <c r="Q32" s="520">
        <f t="shared" si="3"/>
        <v>0</v>
      </c>
    </row>
    <row r="33" spans="2:17">
      <c r="B33" s="1211"/>
      <c r="C33" s="1336"/>
      <c r="D33" s="469" t="s">
        <v>702</v>
      </c>
      <c r="E33" s="446">
        <f>入力!N42</f>
        <v>0</v>
      </c>
      <c r="F33" s="515">
        <f>温度条件他根拠!$C$33</f>
        <v>1.18</v>
      </c>
      <c r="G33" s="516">
        <f>'外壁実効温度差（ETD)一覧表'!L24</f>
        <v>8.0999999999999979</v>
      </c>
      <c r="H33" s="517">
        <f t="shared" si="0"/>
        <v>0</v>
      </c>
      <c r="I33" s="518">
        <f>'外壁実効温度差（ETD)一覧表'!O24</f>
        <v>12.099999999999998</v>
      </c>
      <c r="J33" s="517">
        <f t="shared" ref="J33:J47" si="4">I33*F33*E33</f>
        <v>0</v>
      </c>
      <c r="K33" s="519">
        <f>'外壁実効温度差（ETD)一覧表'!R24</f>
        <v>11.099999999999998</v>
      </c>
      <c r="L33" s="520">
        <f t="shared" si="1"/>
        <v>0</v>
      </c>
      <c r="M33" s="521">
        <f t="shared" si="2"/>
        <v>21.5</v>
      </c>
      <c r="N33" s="473">
        <v>1.05</v>
      </c>
      <c r="O33" s="522">
        <f>'熱負荷計算シート (2)'!N10</f>
        <v>1.05</v>
      </c>
      <c r="P33" s="523">
        <f>'熱負荷計算シート (2)'!M10</f>
        <v>21.5</v>
      </c>
      <c r="Q33" s="520">
        <f t="shared" si="3"/>
        <v>0</v>
      </c>
    </row>
    <row r="34" spans="2:17">
      <c r="B34" s="1211"/>
      <c r="C34" s="1336"/>
      <c r="D34" s="469" t="s">
        <v>703</v>
      </c>
      <c r="E34" s="446">
        <f>入力!N43</f>
        <v>0</v>
      </c>
      <c r="F34" s="515">
        <f>温度条件他根拠!$C$33</f>
        <v>1.18</v>
      </c>
      <c r="G34" s="516">
        <f>'外壁実効温度差（ETD)一覧表'!L25</f>
        <v>6.0999999999999979</v>
      </c>
      <c r="H34" s="517">
        <f t="shared" si="0"/>
        <v>0</v>
      </c>
      <c r="I34" s="518">
        <f>'外壁実効温度差（ETD)一覧表'!O25</f>
        <v>11.099999999999998</v>
      </c>
      <c r="J34" s="517">
        <f t="shared" si="4"/>
        <v>0</v>
      </c>
      <c r="K34" s="519">
        <f>'外壁実効温度差（ETD)一覧表'!R25</f>
        <v>11.099999999999998</v>
      </c>
      <c r="L34" s="520">
        <f t="shared" si="1"/>
        <v>0</v>
      </c>
      <c r="M34" s="521">
        <f t="shared" si="2"/>
        <v>21.5</v>
      </c>
      <c r="N34" s="473">
        <v>1.05</v>
      </c>
      <c r="O34" s="522">
        <f>'熱負荷計算シート (2)'!N11</f>
        <v>1.05</v>
      </c>
      <c r="P34" s="523">
        <f>'熱負荷計算シート (2)'!M11</f>
        <v>21.5</v>
      </c>
      <c r="Q34" s="520">
        <f t="shared" si="3"/>
        <v>0</v>
      </c>
    </row>
    <row r="35" spans="2:17">
      <c r="B35" s="1211"/>
      <c r="C35" s="1336"/>
      <c r="D35" s="469" t="s">
        <v>704</v>
      </c>
      <c r="E35" s="446">
        <f>入力!N44</f>
        <v>0</v>
      </c>
      <c r="F35" s="515">
        <f>温度条件他根拠!$C$33</f>
        <v>1.18</v>
      </c>
      <c r="G35" s="516">
        <f>'外壁実効温度差（ETD)一覧表'!L26</f>
        <v>2.0999999999999979</v>
      </c>
      <c r="H35" s="517">
        <f t="shared" si="0"/>
        <v>0</v>
      </c>
      <c r="I35" s="518">
        <f>'外壁実効温度差（ETD)一覧表'!O26</f>
        <v>5.0999999999999979</v>
      </c>
      <c r="J35" s="517">
        <f t="shared" si="4"/>
        <v>0</v>
      </c>
      <c r="K35" s="519">
        <f>'外壁実効温度差（ETD)一覧表'!R26</f>
        <v>9.0999999999999979</v>
      </c>
      <c r="L35" s="520">
        <f t="shared" si="1"/>
        <v>0</v>
      </c>
      <c r="M35" s="521">
        <f t="shared" si="2"/>
        <v>21.5</v>
      </c>
      <c r="N35" s="473">
        <v>1</v>
      </c>
      <c r="O35" s="524">
        <f>'熱負荷計算シート (2)'!N12</f>
        <v>1</v>
      </c>
      <c r="P35" s="523">
        <f>'熱負荷計算シート (2)'!M12</f>
        <v>21.5</v>
      </c>
      <c r="Q35" s="520">
        <f t="shared" si="3"/>
        <v>0</v>
      </c>
    </row>
    <row r="36" spans="2:17">
      <c r="B36" s="1211"/>
      <c r="C36" s="1336"/>
      <c r="D36" s="469" t="s">
        <v>705</v>
      </c>
      <c r="E36" s="446">
        <f>入力!N45</f>
        <v>0</v>
      </c>
      <c r="F36" s="515">
        <f>温度条件他根拠!$C$33</f>
        <v>1.18</v>
      </c>
      <c r="G36" s="516">
        <f>'外壁実効温度差（ETD)一覧表'!L27</f>
        <v>2.0999999999999979</v>
      </c>
      <c r="H36" s="517">
        <f t="shared" si="0"/>
        <v>0</v>
      </c>
      <c r="I36" s="518">
        <f>'外壁実効温度差（ETD)一覧表'!O27</f>
        <v>4.0999999999999979</v>
      </c>
      <c r="J36" s="517">
        <f t="shared" si="4"/>
        <v>0</v>
      </c>
      <c r="K36" s="519">
        <f>'外壁実効温度差（ETD)一覧表'!R27</f>
        <v>9.0999999999999979</v>
      </c>
      <c r="L36" s="520">
        <f t="shared" si="1"/>
        <v>0</v>
      </c>
      <c r="M36" s="521">
        <f t="shared" si="2"/>
        <v>21.5</v>
      </c>
      <c r="N36" s="473">
        <v>1.05</v>
      </c>
      <c r="O36" s="522">
        <f>'熱負荷計算シート (2)'!N13</f>
        <v>1.05</v>
      </c>
      <c r="P36" s="523">
        <f>'熱負荷計算シート (2)'!M13</f>
        <v>21.5</v>
      </c>
      <c r="Q36" s="520">
        <f t="shared" si="3"/>
        <v>0</v>
      </c>
    </row>
    <row r="37" spans="2:17">
      <c r="B37" s="1211"/>
      <c r="C37" s="1336"/>
      <c r="D37" s="469" t="s">
        <v>706</v>
      </c>
      <c r="E37" s="446">
        <f>入力!N46</f>
        <v>0</v>
      </c>
      <c r="F37" s="515">
        <f>温度条件他根拠!$C$33</f>
        <v>1.18</v>
      </c>
      <c r="G37" s="516">
        <f>'外壁実効温度差（ETD)一覧表'!L28</f>
        <v>2.0999999999999979</v>
      </c>
      <c r="H37" s="517">
        <f t="shared" si="0"/>
        <v>0</v>
      </c>
      <c r="I37" s="518">
        <f>'外壁実効温度差（ETD)一覧表'!O28</f>
        <v>4.0999999999999979</v>
      </c>
      <c r="J37" s="517">
        <f t="shared" si="4"/>
        <v>0</v>
      </c>
      <c r="K37" s="519">
        <f>'外壁実効温度差（ETD)一覧表'!R28</f>
        <v>8.0999999999999979</v>
      </c>
      <c r="L37" s="520">
        <f t="shared" si="1"/>
        <v>0</v>
      </c>
      <c r="M37" s="521">
        <f t="shared" si="2"/>
        <v>21.5</v>
      </c>
      <c r="N37" s="473">
        <v>1.1000000000000001</v>
      </c>
      <c r="O37" s="522">
        <f>'熱負荷計算シート (2)'!N14</f>
        <v>1.1000000000000001</v>
      </c>
      <c r="P37" s="523">
        <f>'熱負荷計算シート (2)'!M14</f>
        <v>21.5</v>
      </c>
      <c r="Q37" s="520">
        <f t="shared" si="3"/>
        <v>0</v>
      </c>
    </row>
    <row r="38" spans="2:17" ht="15" thickBot="1">
      <c r="B38" s="1211"/>
      <c r="C38" s="1337"/>
      <c r="D38" s="486" t="s">
        <v>707</v>
      </c>
      <c r="E38" s="476">
        <f>入力!N47</f>
        <v>0</v>
      </c>
      <c r="F38" s="525">
        <f>温度条件他根拠!$C$33</f>
        <v>1.18</v>
      </c>
      <c r="G38" s="526">
        <f>'外壁実効温度差（ETD)一覧表'!L29</f>
        <v>2.0999999999999979</v>
      </c>
      <c r="H38" s="527">
        <f t="shared" si="0"/>
        <v>0</v>
      </c>
      <c r="I38" s="528">
        <f>'外壁実効温度差（ETD)一覧表'!O29</f>
        <v>4.0999999999999979</v>
      </c>
      <c r="J38" s="527">
        <f t="shared" si="4"/>
        <v>0</v>
      </c>
      <c r="K38" s="529">
        <f>'外壁実効温度差（ETD)一覧表'!R29</f>
        <v>6.0999999999999979</v>
      </c>
      <c r="L38" s="530">
        <f t="shared" si="1"/>
        <v>0</v>
      </c>
      <c r="M38" s="531">
        <f t="shared" si="2"/>
        <v>21.5</v>
      </c>
      <c r="N38" s="478">
        <v>1.1000000000000001</v>
      </c>
      <c r="O38" s="532">
        <f>'熱負荷計算シート (2)'!N15</f>
        <v>1.1000000000000001</v>
      </c>
      <c r="P38" s="533">
        <f>'熱負荷計算シート (2)'!M15</f>
        <v>21.5</v>
      </c>
      <c r="Q38" s="534">
        <f t="shared" si="3"/>
        <v>0</v>
      </c>
    </row>
    <row r="39" spans="2:17" ht="15" thickBot="1">
      <c r="B39" s="1211"/>
      <c r="C39" s="1209" t="s">
        <v>1014</v>
      </c>
      <c r="D39" s="1158"/>
      <c r="E39" s="1158"/>
      <c r="F39" s="1159"/>
      <c r="G39" s="831"/>
      <c r="H39" s="572">
        <f>SUBTOTAL(9,H31:H38)</f>
        <v>0</v>
      </c>
      <c r="I39" s="832"/>
      <c r="J39" s="572">
        <f>SUBTOTAL(9,J31:J38)</f>
        <v>0</v>
      </c>
      <c r="K39" s="833"/>
      <c r="L39" s="834">
        <f>SUBTOTAL(9,L31:L38)</f>
        <v>0</v>
      </c>
      <c r="M39" s="828"/>
      <c r="N39" s="600"/>
      <c r="O39" s="829"/>
      <c r="P39" s="830"/>
      <c r="Q39" s="499">
        <f>SUBTOTAL(9,Q31:Q38)</f>
        <v>0</v>
      </c>
    </row>
    <row r="40" spans="2:17">
      <c r="B40" s="1211"/>
      <c r="C40" s="1338" t="s">
        <v>708</v>
      </c>
      <c r="D40" s="462" t="s">
        <v>700</v>
      </c>
      <c r="E40" s="463">
        <f>入力!N48</f>
        <v>0</v>
      </c>
      <c r="F40" s="535">
        <f>温度条件他根拠!C34</f>
        <v>5.95</v>
      </c>
      <c r="G40" s="506">
        <f>温度条件他根拠!E8-温度条件他根拠!E10</f>
        <v>3.8999999999999986</v>
      </c>
      <c r="H40" s="507">
        <f t="shared" si="0"/>
        <v>0</v>
      </c>
      <c r="I40" s="508">
        <f>温度条件他根拠!E8-温度条件他根拠!E10</f>
        <v>3.8999999999999986</v>
      </c>
      <c r="J40" s="507">
        <f t="shared" si="4"/>
        <v>0</v>
      </c>
      <c r="K40" s="508">
        <f>温度条件他根拠!E8-温度条件他根拠!E10</f>
        <v>3.8999999999999986</v>
      </c>
      <c r="L40" s="510">
        <f t="shared" si="1"/>
        <v>0</v>
      </c>
      <c r="M40" s="511">
        <f t="shared" si="2"/>
        <v>21.5</v>
      </c>
      <c r="N40" s="512">
        <v>1.1000000000000001</v>
      </c>
      <c r="O40" s="513">
        <f>'熱負荷計算シート (2)'!N16</f>
        <v>1.1000000000000001</v>
      </c>
      <c r="P40" s="514">
        <f>'熱負荷計算シート (2)'!M16</f>
        <v>21.5</v>
      </c>
      <c r="Q40" s="510">
        <f t="shared" si="3"/>
        <v>0</v>
      </c>
    </row>
    <row r="41" spans="2:17">
      <c r="B41" s="1211"/>
      <c r="C41" s="1336"/>
      <c r="D41" s="469" t="s">
        <v>701</v>
      </c>
      <c r="E41" s="446">
        <f>入力!N49</f>
        <v>0</v>
      </c>
      <c r="F41" s="536">
        <f>温度条件他根拠!C34</f>
        <v>5.95</v>
      </c>
      <c r="G41" s="516">
        <f>G40</f>
        <v>3.8999999999999986</v>
      </c>
      <c r="H41" s="517">
        <f t="shared" si="0"/>
        <v>0</v>
      </c>
      <c r="I41" s="518">
        <f>I40</f>
        <v>3.8999999999999986</v>
      </c>
      <c r="J41" s="517">
        <f t="shared" si="4"/>
        <v>0</v>
      </c>
      <c r="K41" s="518">
        <f>K40</f>
        <v>3.8999999999999986</v>
      </c>
      <c r="L41" s="520">
        <f t="shared" si="1"/>
        <v>0</v>
      </c>
      <c r="M41" s="521">
        <f t="shared" si="2"/>
        <v>21.5</v>
      </c>
      <c r="N41" s="473">
        <v>1.05</v>
      </c>
      <c r="O41" s="522">
        <f>'熱負荷計算シート (2)'!N17</f>
        <v>1.05</v>
      </c>
      <c r="P41" s="523">
        <f>'熱負荷計算シート (2)'!M17</f>
        <v>21.5</v>
      </c>
      <c r="Q41" s="520">
        <f t="shared" si="3"/>
        <v>0</v>
      </c>
    </row>
    <row r="42" spans="2:17">
      <c r="B42" s="1211"/>
      <c r="C42" s="1336"/>
      <c r="D42" s="469" t="s">
        <v>702</v>
      </c>
      <c r="E42" s="446">
        <f>入力!N50</f>
        <v>0</v>
      </c>
      <c r="F42" s="536">
        <f>温度条件他根拠!C34</f>
        <v>5.95</v>
      </c>
      <c r="G42" s="516">
        <f t="shared" ref="G42:G46" si="5">G41</f>
        <v>3.8999999999999986</v>
      </c>
      <c r="H42" s="517">
        <f t="shared" si="0"/>
        <v>0</v>
      </c>
      <c r="I42" s="518">
        <f t="shared" ref="I42:K46" si="6">I41</f>
        <v>3.8999999999999986</v>
      </c>
      <c r="J42" s="517">
        <f t="shared" si="4"/>
        <v>0</v>
      </c>
      <c r="K42" s="518">
        <f t="shared" si="6"/>
        <v>3.8999999999999986</v>
      </c>
      <c r="L42" s="520">
        <f t="shared" si="1"/>
        <v>0</v>
      </c>
      <c r="M42" s="521">
        <f t="shared" si="2"/>
        <v>21.5</v>
      </c>
      <c r="N42" s="473">
        <v>1.05</v>
      </c>
      <c r="O42" s="522">
        <f>'熱負荷計算シート (2)'!N18</f>
        <v>1.05</v>
      </c>
      <c r="P42" s="523">
        <f>'熱負荷計算シート (2)'!M18</f>
        <v>21.5</v>
      </c>
      <c r="Q42" s="520">
        <f t="shared" si="3"/>
        <v>0</v>
      </c>
    </row>
    <row r="43" spans="2:17">
      <c r="B43" s="1211"/>
      <c r="C43" s="1336"/>
      <c r="D43" s="469" t="s">
        <v>703</v>
      </c>
      <c r="E43" s="446">
        <f>入力!N51</f>
        <v>0</v>
      </c>
      <c r="F43" s="536">
        <f>温度条件他根拠!C34</f>
        <v>5.95</v>
      </c>
      <c r="G43" s="516">
        <f t="shared" si="5"/>
        <v>3.8999999999999986</v>
      </c>
      <c r="H43" s="517">
        <f t="shared" si="0"/>
        <v>0</v>
      </c>
      <c r="I43" s="518">
        <f t="shared" si="6"/>
        <v>3.8999999999999986</v>
      </c>
      <c r="J43" s="517">
        <f t="shared" si="4"/>
        <v>0</v>
      </c>
      <c r="K43" s="518">
        <f t="shared" si="6"/>
        <v>3.8999999999999986</v>
      </c>
      <c r="L43" s="520">
        <f t="shared" si="1"/>
        <v>0</v>
      </c>
      <c r="M43" s="521">
        <f t="shared" si="2"/>
        <v>21.5</v>
      </c>
      <c r="N43" s="473">
        <v>1.05</v>
      </c>
      <c r="O43" s="522">
        <f>'熱負荷計算シート (2)'!N19</f>
        <v>1.05</v>
      </c>
      <c r="P43" s="523">
        <f>'熱負荷計算シート (2)'!M19</f>
        <v>21.5</v>
      </c>
      <c r="Q43" s="520">
        <f t="shared" si="3"/>
        <v>0</v>
      </c>
    </row>
    <row r="44" spans="2:17">
      <c r="B44" s="1211"/>
      <c r="C44" s="1336"/>
      <c r="D44" s="469" t="s">
        <v>704</v>
      </c>
      <c r="E44" s="446">
        <f>入力!N52</f>
        <v>0</v>
      </c>
      <c r="F44" s="536">
        <f>温度条件他根拠!C34</f>
        <v>5.95</v>
      </c>
      <c r="G44" s="516">
        <f t="shared" si="5"/>
        <v>3.8999999999999986</v>
      </c>
      <c r="H44" s="517">
        <f t="shared" si="0"/>
        <v>0</v>
      </c>
      <c r="I44" s="518">
        <f t="shared" si="6"/>
        <v>3.8999999999999986</v>
      </c>
      <c r="J44" s="517">
        <f t="shared" si="4"/>
        <v>0</v>
      </c>
      <c r="K44" s="518">
        <f t="shared" si="6"/>
        <v>3.8999999999999986</v>
      </c>
      <c r="L44" s="520">
        <f t="shared" si="1"/>
        <v>0</v>
      </c>
      <c r="M44" s="521">
        <f t="shared" si="2"/>
        <v>21.5</v>
      </c>
      <c r="N44" s="473">
        <v>1</v>
      </c>
      <c r="O44" s="524">
        <f>'熱負荷計算シート (2)'!N20</f>
        <v>1</v>
      </c>
      <c r="P44" s="523">
        <f>'熱負荷計算シート (2)'!M20</f>
        <v>21.5</v>
      </c>
      <c r="Q44" s="520">
        <f t="shared" si="3"/>
        <v>0</v>
      </c>
    </row>
    <row r="45" spans="2:17">
      <c r="B45" s="1211"/>
      <c r="C45" s="1336"/>
      <c r="D45" s="469" t="s">
        <v>705</v>
      </c>
      <c r="E45" s="446">
        <f>入力!N53</f>
        <v>0</v>
      </c>
      <c r="F45" s="536">
        <f>温度条件他根拠!C34</f>
        <v>5.95</v>
      </c>
      <c r="G45" s="516">
        <f t="shared" si="5"/>
        <v>3.8999999999999986</v>
      </c>
      <c r="H45" s="517">
        <f t="shared" si="0"/>
        <v>0</v>
      </c>
      <c r="I45" s="518">
        <f t="shared" si="6"/>
        <v>3.8999999999999986</v>
      </c>
      <c r="J45" s="517">
        <f t="shared" si="4"/>
        <v>0</v>
      </c>
      <c r="K45" s="518">
        <f t="shared" si="6"/>
        <v>3.8999999999999986</v>
      </c>
      <c r="L45" s="520">
        <f t="shared" si="1"/>
        <v>0</v>
      </c>
      <c r="M45" s="521">
        <f t="shared" si="2"/>
        <v>21.5</v>
      </c>
      <c r="N45" s="473">
        <v>1.05</v>
      </c>
      <c r="O45" s="522">
        <f>'熱負荷計算シート (2)'!N21</f>
        <v>1.05</v>
      </c>
      <c r="P45" s="523">
        <f>'熱負荷計算シート (2)'!M21</f>
        <v>21.5</v>
      </c>
      <c r="Q45" s="520">
        <f t="shared" si="3"/>
        <v>0</v>
      </c>
    </row>
    <row r="46" spans="2:17">
      <c r="B46" s="1211"/>
      <c r="C46" s="1336"/>
      <c r="D46" s="469" t="s">
        <v>706</v>
      </c>
      <c r="E46" s="446">
        <f>入力!N54</f>
        <v>0</v>
      </c>
      <c r="F46" s="536">
        <f>温度条件他根拠!C34</f>
        <v>5.95</v>
      </c>
      <c r="G46" s="516">
        <f t="shared" si="5"/>
        <v>3.8999999999999986</v>
      </c>
      <c r="H46" s="517">
        <f t="shared" si="0"/>
        <v>0</v>
      </c>
      <c r="I46" s="518">
        <f t="shared" si="6"/>
        <v>3.8999999999999986</v>
      </c>
      <c r="J46" s="517">
        <f t="shared" si="4"/>
        <v>0</v>
      </c>
      <c r="K46" s="518">
        <f t="shared" si="6"/>
        <v>3.8999999999999986</v>
      </c>
      <c r="L46" s="520">
        <f t="shared" si="1"/>
        <v>0</v>
      </c>
      <c r="M46" s="521">
        <f t="shared" si="2"/>
        <v>21.5</v>
      </c>
      <c r="N46" s="473">
        <v>1.1000000000000001</v>
      </c>
      <c r="O46" s="522">
        <f>'熱負荷計算シート (2)'!N22</f>
        <v>1.1000000000000001</v>
      </c>
      <c r="P46" s="523">
        <f>'熱負荷計算シート (2)'!M22</f>
        <v>21.5</v>
      </c>
      <c r="Q46" s="520">
        <f t="shared" si="3"/>
        <v>0</v>
      </c>
    </row>
    <row r="47" spans="2:17" ht="15" thickBot="1">
      <c r="B47" s="1211"/>
      <c r="C47" s="1339"/>
      <c r="D47" s="537" t="s">
        <v>707</v>
      </c>
      <c r="E47" s="476">
        <f>入力!N55</f>
        <v>0</v>
      </c>
      <c r="F47" s="538">
        <f>温度条件他根拠!C34</f>
        <v>5.95</v>
      </c>
      <c r="G47" s="539">
        <f>G46</f>
        <v>3.8999999999999986</v>
      </c>
      <c r="H47" s="540">
        <f t="shared" si="0"/>
        <v>0</v>
      </c>
      <c r="I47" s="541">
        <f>I46</f>
        <v>3.8999999999999986</v>
      </c>
      <c r="J47" s="540">
        <f t="shared" si="4"/>
        <v>0</v>
      </c>
      <c r="K47" s="541">
        <f>K46</f>
        <v>3.8999999999999986</v>
      </c>
      <c r="L47" s="534">
        <f t="shared" si="1"/>
        <v>0</v>
      </c>
      <c r="M47" s="531">
        <f t="shared" si="2"/>
        <v>21.5</v>
      </c>
      <c r="N47" s="478">
        <v>1.1000000000000001</v>
      </c>
      <c r="O47" s="532">
        <f>'熱負荷計算シート (2)'!N23</f>
        <v>1.1000000000000001</v>
      </c>
      <c r="P47" s="533">
        <f>'熱負荷計算シート (2)'!M23</f>
        <v>21.5</v>
      </c>
      <c r="Q47" s="534">
        <f t="shared" si="3"/>
        <v>0</v>
      </c>
    </row>
    <row r="48" spans="2:17" ht="15" thickBot="1">
      <c r="B48" s="1211"/>
      <c r="C48" s="1209" t="s">
        <v>1014</v>
      </c>
      <c r="D48" s="1158"/>
      <c r="E48" s="1158"/>
      <c r="F48" s="1159"/>
      <c r="G48" s="831"/>
      <c r="H48" s="572">
        <f>SUBTOTAL(9,H40:H47)</f>
        <v>0</v>
      </c>
      <c r="I48" s="832"/>
      <c r="J48" s="572">
        <f>SUBTOTAL(9,J40:J47)</f>
        <v>0</v>
      </c>
      <c r="K48" s="833"/>
      <c r="L48" s="834">
        <f>SUBTOTAL(9,L40:L47)</f>
        <v>0</v>
      </c>
      <c r="M48" s="828"/>
      <c r="N48" s="600"/>
      <c r="O48" s="829"/>
      <c r="P48" s="830"/>
      <c r="Q48" s="499">
        <f>SUBTOTAL(9,Q40:Q47)</f>
        <v>0</v>
      </c>
    </row>
    <row r="49" spans="1:19" ht="18" customHeight="1" thickBot="1">
      <c r="B49" s="1212"/>
      <c r="C49" s="1213" t="s">
        <v>1015</v>
      </c>
      <c r="D49" s="1214"/>
      <c r="E49" s="1214"/>
      <c r="F49" s="1215"/>
      <c r="G49" s="542"/>
      <c r="H49" s="543">
        <f>H30+H39+H48</f>
        <v>0</v>
      </c>
      <c r="I49" s="544"/>
      <c r="J49" s="543">
        <f>J30+J39+J48</f>
        <v>0</v>
      </c>
      <c r="K49" s="545"/>
      <c r="L49" s="546">
        <f>L30+L39+L48</f>
        <v>0</v>
      </c>
      <c r="M49" s="547"/>
      <c r="N49" s="548"/>
      <c r="O49" s="548"/>
      <c r="P49" s="548"/>
      <c r="Q49" s="504">
        <f>Q30+Q39+Q48</f>
        <v>0</v>
      </c>
    </row>
    <row r="50" spans="1:19">
      <c r="B50" s="1335" t="s">
        <v>867</v>
      </c>
      <c r="C50" s="1340"/>
      <c r="D50" s="1340" t="s">
        <v>868</v>
      </c>
      <c r="E50" s="1340"/>
      <c r="F50" s="1343"/>
      <c r="G50" s="1344" t="s">
        <v>869</v>
      </c>
      <c r="H50" s="1340"/>
      <c r="I50" s="1340"/>
      <c r="J50" s="1340"/>
      <c r="K50" s="1340"/>
      <c r="L50" s="1343"/>
      <c r="M50" s="550"/>
      <c r="N50" s="551"/>
      <c r="O50" s="551"/>
      <c r="P50" s="551"/>
      <c r="Q50" s="552"/>
    </row>
    <row r="51" spans="1:19">
      <c r="B51" s="1336"/>
      <c r="C51" s="1341"/>
      <c r="D51" s="1341" t="s">
        <v>695</v>
      </c>
      <c r="E51" s="1345" t="s">
        <v>871</v>
      </c>
      <c r="F51" s="1346" t="s">
        <v>773</v>
      </c>
      <c r="G51" s="1360" t="s">
        <v>872</v>
      </c>
      <c r="H51" s="1349"/>
      <c r="I51" s="1359" t="s">
        <v>873</v>
      </c>
      <c r="J51" s="1349"/>
      <c r="K51" s="1359" t="s">
        <v>874</v>
      </c>
      <c r="L51" s="1361"/>
      <c r="M51" s="553"/>
      <c r="N51" s="554"/>
      <c r="O51" s="554"/>
      <c r="P51" s="554"/>
      <c r="Q51" s="555"/>
    </row>
    <row r="52" spans="1:19">
      <c r="B52" s="1336"/>
      <c r="C52" s="1341"/>
      <c r="D52" s="1341"/>
      <c r="E52" s="1345"/>
      <c r="F52" s="1347"/>
      <c r="G52" s="556" t="s">
        <v>886</v>
      </c>
      <c r="H52" s="557" t="s">
        <v>869</v>
      </c>
      <c r="I52" s="557" t="s">
        <v>886</v>
      </c>
      <c r="J52" s="557" t="s">
        <v>869</v>
      </c>
      <c r="K52" s="557" t="s">
        <v>886</v>
      </c>
      <c r="L52" s="558" t="s">
        <v>869</v>
      </c>
      <c r="M52" s="553"/>
      <c r="N52" s="554"/>
      <c r="O52" s="554"/>
      <c r="P52" s="554"/>
      <c r="Q52" s="555"/>
    </row>
    <row r="53" spans="1:19" ht="17.25" thickBot="1">
      <c r="B53" s="1337"/>
      <c r="C53" s="1342"/>
      <c r="D53" s="1342"/>
      <c r="E53" s="486" t="s">
        <v>887</v>
      </c>
      <c r="F53" s="489" t="s">
        <v>888</v>
      </c>
      <c r="G53" s="559" t="s">
        <v>889</v>
      </c>
      <c r="H53" s="486" t="s">
        <v>58</v>
      </c>
      <c r="I53" s="486" t="s">
        <v>889</v>
      </c>
      <c r="J53" s="486" t="s">
        <v>58</v>
      </c>
      <c r="K53" s="486" t="s">
        <v>889</v>
      </c>
      <c r="L53" s="489" t="s">
        <v>58</v>
      </c>
      <c r="M53" s="553"/>
      <c r="N53" s="554"/>
      <c r="O53" s="554"/>
      <c r="P53" s="554"/>
      <c r="Q53" s="555"/>
    </row>
    <row r="54" spans="1:19" ht="14.25" customHeight="1">
      <c r="B54" s="1160" t="s">
        <v>890</v>
      </c>
      <c r="C54" s="1348" t="s">
        <v>708</v>
      </c>
      <c r="D54" s="560" t="s">
        <v>700</v>
      </c>
      <c r="E54" s="561">
        <f>入力!O48</f>
        <v>0</v>
      </c>
      <c r="F54" s="562">
        <f>温度条件他根拠!C35</f>
        <v>0.876</v>
      </c>
      <c r="G54" s="563">
        <f>標準日射取得量1!G6</f>
        <v>39.06</v>
      </c>
      <c r="H54" s="564">
        <f>G54*F54*E54</f>
        <v>0</v>
      </c>
      <c r="I54" s="565">
        <f>標準日射取得量1!J6</f>
        <v>39.99</v>
      </c>
      <c r="J54" s="564">
        <f>I54*F54*E54</f>
        <v>0</v>
      </c>
      <c r="K54" s="565">
        <f>標準日射取得量1!M6</f>
        <v>37.200000000000003</v>
      </c>
      <c r="L54" s="566">
        <f>K54*F54*E54</f>
        <v>0</v>
      </c>
      <c r="M54" s="553"/>
      <c r="N54" s="554"/>
      <c r="O54" s="554"/>
      <c r="P54" s="554"/>
      <c r="Q54" s="555"/>
    </row>
    <row r="55" spans="1:19">
      <c r="B55" s="1161"/>
      <c r="C55" s="1349"/>
      <c r="D55" s="469" t="s">
        <v>701</v>
      </c>
      <c r="E55" s="446">
        <f>入力!O49</f>
        <v>0</v>
      </c>
      <c r="F55" s="567">
        <f>温度条件他根拠!C35</f>
        <v>0.876</v>
      </c>
      <c r="G55" s="563">
        <f>標準日射取得量1!G7</f>
        <v>227.85000000000002</v>
      </c>
      <c r="H55" s="517">
        <f t="shared" ref="H55:H61" si="7">G55*F55*E55</f>
        <v>0</v>
      </c>
      <c r="I55" s="565">
        <f>標準日射取得量1!J7</f>
        <v>39.99</v>
      </c>
      <c r="J55" s="517">
        <f t="shared" ref="J55:J61" si="8">I55*F55*E55</f>
        <v>0</v>
      </c>
      <c r="K55" s="565">
        <f>標準日射取得量1!M7</f>
        <v>37.200000000000003</v>
      </c>
      <c r="L55" s="520">
        <f t="shared" ref="L55:L61" si="9">K55*F55*E55</f>
        <v>0</v>
      </c>
      <c r="M55" s="553"/>
      <c r="N55" s="554"/>
      <c r="O55" s="554"/>
      <c r="P55" s="554"/>
      <c r="Q55" s="555"/>
    </row>
    <row r="56" spans="1:19">
      <c r="B56" s="1161"/>
      <c r="C56" s="1349"/>
      <c r="D56" s="469" t="s">
        <v>702</v>
      </c>
      <c r="E56" s="446">
        <f>入力!O50</f>
        <v>0</v>
      </c>
      <c r="F56" s="567">
        <f>温度条件他根拠!C35</f>
        <v>0.876</v>
      </c>
      <c r="G56" s="563">
        <f>標準日射取得量1!G8</f>
        <v>456.63000000000005</v>
      </c>
      <c r="H56" s="517">
        <f t="shared" si="7"/>
        <v>0</v>
      </c>
      <c r="I56" s="565">
        <f>標準日射取得量1!J8</f>
        <v>39.99</v>
      </c>
      <c r="J56" s="517">
        <f t="shared" si="8"/>
        <v>0</v>
      </c>
      <c r="K56" s="565">
        <f>標準日射取得量1!M8</f>
        <v>37.200000000000003</v>
      </c>
      <c r="L56" s="520">
        <f t="shared" si="9"/>
        <v>0</v>
      </c>
      <c r="M56" s="553"/>
      <c r="N56" s="554"/>
      <c r="O56" s="554"/>
      <c r="P56" s="554"/>
      <c r="Q56" s="555"/>
    </row>
    <row r="57" spans="1:19">
      <c r="B57" s="1161"/>
      <c r="C57" s="1349"/>
      <c r="D57" s="469" t="s">
        <v>703</v>
      </c>
      <c r="E57" s="446">
        <f>入力!O51</f>
        <v>0</v>
      </c>
      <c r="F57" s="567">
        <f>温度条件他根拠!C35</f>
        <v>0.876</v>
      </c>
      <c r="G57" s="563">
        <f>標準日射取得量1!G9</f>
        <v>380.37</v>
      </c>
      <c r="H57" s="517">
        <f>G57*F57*E57</f>
        <v>0</v>
      </c>
      <c r="I57" s="565">
        <f>標準日射取得量1!J9</f>
        <v>86.490000000000009</v>
      </c>
      <c r="J57" s="517">
        <f t="shared" si="8"/>
        <v>0</v>
      </c>
      <c r="K57" s="565">
        <f>標準日射取得量1!M9</f>
        <v>37.200000000000003</v>
      </c>
      <c r="L57" s="520">
        <f t="shared" si="9"/>
        <v>0</v>
      </c>
      <c r="M57" s="553"/>
      <c r="N57" s="554"/>
      <c r="O57" s="554"/>
      <c r="P57" s="554"/>
      <c r="Q57" s="555"/>
    </row>
    <row r="58" spans="1:19">
      <c r="B58" s="1161"/>
      <c r="C58" s="1349"/>
      <c r="D58" s="469" t="s">
        <v>704</v>
      </c>
      <c r="E58" s="446">
        <f>入力!O52</f>
        <v>0</v>
      </c>
      <c r="F58" s="567">
        <f>温度条件他根拠!C35</f>
        <v>0.876</v>
      </c>
      <c r="G58" s="563">
        <f>標準日射取得量1!G10</f>
        <v>71.61</v>
      </c>
      <c r="H58" s="517">
        <f t="shared" si="7"/>
        <v>0</v>
      </c>
      <c r="I58" s="565">
        <f>標準日射取得量1!J10</f>
        <v>167.4</v>
      </c>
      <c r="J58" s="517">
        <f t="shared" si="8"/>
        <v>0</v>
      </c>
      <c r="K58" s="565">
        <f>標準日射取得量1!M10</f>
        <v>52.080000000000005</v>
      </c>
      <c r="L58" s="520">
        <f t="shared" si="9"/>
        <v>0</v>
      </c>
      <c r="M58" s="553"/>
      <c r="N58" s="554"/>
      <c r="O58" s="554"/>
      <c r="P58" s="554"/>
      <c r="Q58" s="555"/>
    </row>
    <row r="59" spans="1:19">
      <c r="B59" s="1161"/>
      <c r="C59" s="1349"/>
      <c r="D59" s="469" t="s">
        <v>705</v>
      </c>
      <c r="E59" s="446">
        <f>入力!O53</f>
        <v>0</v>
      </c>
      <c r="F59" s="567">
        <f>温度条件他根拠!C35</f>
        <v>0.876</v>
      </c>
      <c r="G59" s="563">
        <f>標準日射取得量1!G11</f>
        <v>39.06</v>
      </c>
      <c r="H59" s="517">
        <f t="shared" si="7"/>
        <v>0</v>
      </c>
      <c r="I59" s="565">
        <f>標準日射取得量1!J11</f>
        <v>136.71</v>
      </c>
      <c r="J59" s="517">
        <f t="shared" si="8"/>
        <v>0</v>
      </c>
      <c r="K59" s="565">
        <f>標準日射取得量1!M11</f>
        <v>390.6</v>
      </c>
      <c r="L59" s="520">
        <f t="shared" si="9"/>
        <v>0</v>
      </c>
      <c r="M59" s="553"/>
      <c r="N59" s="554"/>
      <c r="O59" s="554"/>
      <c r="P59" s="554"/>
      <c r="Q59" s="555"/>
    </row>
    <row r="60" spans="1:19">
      <c r="B60" s="1161"/>
      <c r="C60" s="1349"/>
      <c r="D60" s="469" t="s">
        <v>706</v>
      </c>
      <c r="E60" s="446">
        <f>入力!O54</f>
        <v>0</v>
      </c>
      <c r="F60" s="567">
        <f>温度条件他根拠!C35</f>
        <v>0.876</v>
      </c>
      <c r="G60" s="563">
        <f>標準日射取得量1!G12</f>
        <v>39.06</v>
      </c>
      <c r="H60" s="517">
        <f t="shared" si="7"/>
        <v>0</v>
      </c>
      <c r="I60" s="565">
        <f>標準日射取得量1!J12</f>
        <v>46.5</v>
      </c>
      <c r="J60" s="517">
        <f t="shared" si="8"/>
        <v>0</v>
      </c>
      <c r="K60" s="565">
        <f>標準日射取得量1!M12</f>
        <v>504.99</v>
      </c>
      <c r="L60" s="520">
        <f t="shared" si="9"/>
        <v>0</v>
      </c>
      <c r="M60" s="553"/>
      <c r="N60" s="554"/>
      <c r="O60" s="554"/>
      <c r="P60" s="554"/>
      <c r="Q60" s="555"/>
    </row>
    <row r="61" spans="1:19" ht="15" thickBot="1">
      <c r="B61" s="1161"/>
      <c r="C61" s="1350"/>
      <c r="D61" s="486" t="s">
        <v>707</v>
      </c>
      <c r="E61" s="476">
        <f>入力!O55</f>
        <v>0</v>
      </c>
      <c r="F61" s="568">
        <f>温度条件他根拠!C35</f>
        <v>0.876</v>
      </c>
      <c r="G61" s="563">
        <f>標準日射取得量1!G13</f>
        <v>39.06</v>
      </c>
      <c r="H61" s="540">
        <f t="shared" si="7"/>
        <v>0</v>
      </c>
      <c r="I61" s="565">
        <f>標準日射取得量1!J13</f>
        <v>39.99</v>
      </c>
      <c r="J61" s="540">
        <f t="shared" si="8"/>
        <v>0</v>
      </c>
      <c r="K61" s="565">
        <f>標準日射取得量1!M13</f>
        <v>292.95</v>
      </c>
      <c r="L61" s="534">
        <f t="shared" si="9"/>
        <v>0</v>
      </c>
      <c r="M61" s="553"/>
      <c r="N61" s="554"/>
      <c r="O61" s="554"/>
      <c r="P61" s="554"/>
      <c r="Q61" s="555"/>
    </row>
    <row r="62" spans="1:19" ht="18" customHeight="1" thickBot="1">
      <c r="B62" s="1162"/>
      <c r="C62" s="1163" t="s">
        <v>1013</v>
      </c>
      <c r="D62" s="1163"/>
      <c r="E62" s="1163"/>
      <c r="F62" s="1164"/>
      <c r="G62" s="848"/>
      <c r="H62" s="569">
        <f>SUM(H54:H61)</f>
        <v>0</v>
      </c>
      <c r="I62" s="813"/>
      <c r="J62" s="569">
        <f>SUM(J54:J61)</f>
        <v>0</v>
      </c>
      <c r="K62" s="813"/>
      <c r="L62" s="569">
        <f>SUM(L54:L61)</f>
        <v>0</v>
      </c>
      <c r="M62" s="570"/>
      <c r="N62" s="549"/>
      <c r="O62" s="549"/>
      <c r="P62" s="549"/>
      <c r="Q62" s="571"/>
    </row>
    <row r="63" spans="1:19" ht="18" customHeight="1" thickBot="1">
      <c r="B63" s="1351" t="s">
        <v>891</v>
      </c>
      <c r="C63" s="1352"/>
      <c r="D63" s="1352"/>
      <c r="E63" s="1353"/>
      <c r="F63" s="548"/>
      <c r="G63" s="548"/>
      <c r="H63" s="572">
        <f>H62+H49</f>
        <v>0</v>
      </c>
      <c r="I63" s="548"/>
      <c r="J63" s="572">
        <f>J62+J49</f>
        <v>0</v>
      </c>
      <c r="K63" s="548"/>
      <c r="L63" s="572">
        <f>L62+L49</f>
        <v>0</v>
      </c>
      <c r="M63" s="548"/>
      <c r="N63" s="548"/>
      <c r="O63" s="548"/>
      <c r="P63" s="548"/>
      <c r="Q63" s="504">
        <f>Q49</f>
        <v>0</v>
      </c>
    </row>
    <row r="64" spans="1:19" ht="18" customHeight="1">
      <c r="A64" s="482"/>
      <c r="B64" s="482"/>
      <c r="C64" s="482"/>
      <c r="D64" s="482"/>
      <c r="E64" s="482"/>
      <c r="F64" s="482"/>
      <c r="G64" s="482"/>
      <c r="H64" s="573"/>
      <c r="I64" s="482"/>
      <c r="J64" s="573"/>
      <c r="K64" s="482"/>
      <c r="L64" s="573"/>
      <c r="M64" s="482"/>
      <c r="N64" s="482"/>
      <c r="O64" s="482"/>
      <c r="P64" s="482"/>
      <c r="Q64" s="573"/>
      <c r="R64" s="482"/>
      <c r="S64" s="482"/>
    </row>
    <row r="65" spans="2:17" ht="18.75" thickBot="1">
      <c r="B65" s="1333" t="s">
        <v>892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</row>
    <row r="66" spans="2:17">
      <c r="B66" s="1335" t="s">
        <v>867</v>
      </c>
      <c r="C66" s="1340"/>
      <c r="D66" s="1340" t="s">
        <v>868</v>
      </c>
      <c r="E66" s="1340"/>
      <c r="F66" s="1354"/>
      <c r="G66" s="1355" t="s">
        <v>869</v>
      </c>
      <c r="H66" s="1356"/>
      <c r="I66" s="1356"/>
      <c r="J66" s="1356"/>
      <c r="K66" s="1356"/>
      <c r="L66" s="1357"/>
      <c r="M66" s="1335" t="s">
        <v>870</v>
      </c>
      <c r="N66" s="1358"/>
      <c r="O66" s="1358"/>
      <c r="P66" s="1358"/>
      <c r="Q66" s="1343"/>
    </row>
    <row r="67" spans="2:17">
      <c r="B67" s="1336"/>
      <c r="C67" s="1341"/>
      <c r="D67" s="1341" t="s">
        <v>695</v>
      </c>
      <c r="E67" s="1345" t="s">
        <v>871</v>
      </c>
      <c r="F67" s="1359" t="s">
        <v>859</v>
      </c>
      <c r="G67" s="1360" t="s">
        <v>872</v>
      </c>
      <c r="H67" s="1349"/>
      <c r="I67" s="1359" t="s">
        <v>873</v>
      </c>
      <c r="J67" s="1349"/>
      <c r="K67" s="1359" t="s">
        <v>874</v>
      </c>
      <c r="L67" s="1361"/>
      <c r="M67" s="1336" t="s">
        <v>875</v>
      </c>
      <c r="N67" s="1362" t="s">
        <v>876</v>
      </c>
      <c r="O67" s="1327" t="s">
        <v>877</v>
      </c>
      <c r="P67" s="1332" t="s">
        <v>878</v>
      </c>
      <c r="Q67" s="1334" t="s">
        <v>870</v>
      </c>
    </row>
    <row r="68" spans="2:17">
      <c r="B68" s="1336"/>
      <c r="C68" s="1341"/>
      <c r="D68" s="1341"/>
      <c r="E68" s="1345"/>
      <c r="F68" s="1359"/>
      <c r="G68" s="483" t="s">
        <v>879</v>
      </c>
      <c r="H68" s="484" t="s">
        <v>869</v>
      </c>
      <c r="I68" s="484" t="s">
        <v>879</v>
      </c>
      <c r="J68" s="484" t="s">
        <v>869</v>
      </c>
      <c r="K68" s="484" t="s">
        <v>879</v>
      </c>
      <c r="L68" s="485" t="s">
        <v>869</v>
      </c>
      <c r="M68" s="1336"/>
      <c r="N68" s="1328"/>
      <c r="O68" s="1328"/>
      <c r="P68" s="1332"/>
      <c r="Q68" s="1334"/>
    </row>
    <row r="69" spans="2:17" ht="17.25" thickBot="1">
      <c r="B69" s="1337"/>
      <c r="C69" s="1342"/>
      <c r="D69" s="1342"/>
      <c r="E69" s="486" t="s">
        <v>880</v>
      </c>
      <c r="F69" s="487" t="s">
        <v>881</v>
      </c>
      <c r="G69" s="488" t="s">
        <v>812</v>
      </c>
      <c r="H69" s="486" t="s">
        <v>77</v>
      </c>
      <c r="I69" s="486" t="s">
        <v>812</v>
      </c>
      <c r="J69" s="486" t="s">
        <v>77</v>
      </c>
      <c r="K69" s="486" t="s">
        <v>811</v>
      </c>
      <c r="L69" s="489" t="s">
        <v>77</v>
      </c>
      <c r="M69" s="574" t="s">
        <v>882</v>
      </c>
      <c r="N69" s="470" t="s">
        <v>883</v>
      </c>
      <c r="O69" s="470" t="s">
        <v>883</v>
      </c>
      <c r="P69" s="486" t="s">
        <v>813</v>
      </c>
      <c r="Q69" s="575" t="s">
        <v>12</v>
      </c>
    </row>
    <row r="70" spans="2:17" ht="15" customHeight="1" thickBot="1">
      <c r="B70" s="1210" t="s">
        <v>884</v>
      </c>
      <c r="C70" s="491" t="s">
        <v>697</v>
      </c>
      <c r="D70" s="492" t="s">
        <v>885</v>
      </c>
      <c r="E70" s="493">
        <f t="shared" ref="E70:E78" si="10">E30</f>
        <v>0</v>
      </c>
      <c r="F70" s="576">
        <f>入力!D65</f>
        <v>3.91</v>
      </c>
      <c r="G70" s="577">
        <f>'外壁実効温度差（ETD)一覧表'!L59</f>
        <v>7.1</v>
      </c>
      <c r="H70" s="496">
        <f>G70*F70*E70</f>
        <v>0</v>
      </c>
      <c r="I70" s="497">
        <f>'外壁実効温度差（ETD)一覧表'!O59</f>
        <v>16.100000000000001</v>
      </c>
      <c r="J70" s="496">
        <f>I70*F70*E70</f>
        <v>0</v>
      </c>
      <c r="K70" s="498">
        <f>'外壁実効温度差（ETD)一覧表'!R59</f>
        <v>23.1</v>
      </c>
      <c r="L70" s="499">
        <f>K70*F70*E70</f>
        <v>0</v>
      </c>
      <c r="M70" s="578">
        <f>20--1.5</f>
        <v>21.5</v>
      </c>
      <c r="N70" s="579">
        <v>1</v>
      </c>
      <c r="O70" s="580">
        <f>'熱負荷計算シート (2)'!N44</f>
        <v>1</v>
      </c>
      <c r="P70" s="503">
        <f>'熱負荷計算シート (2)'!M44</f>
        <v>21.5</v>
      </c>
      <c r="Q70" s="504">
        <f>M70*F70*E70*N70</f>
        <v>0</v>
      </c>
    </row>
    <row r="71" spans="2:17">
      <c r="B71" s="1211"/>
      <c r="C71" s="1335" t="s">
        <v>699</v>
      </c>
      <c r="D71" s="462" t="s">
        <v>700</v>
      </c>
      <c r="E71" s="463">
        <f t="shared" si="10"/>
        <v>0</v>
      </c>
      <c r="F71" s="581">
        <f>入力!D77</f>
        <v>1.18</v>
      </c>
      <c r="G71" s="506">
        <f>'外壁実効温度差（ETD)一覧表'!L60</f>
        <v>3.1</v>
      </c>
      <c r="H71" s="507">
        <f t="shared" ref="H71:H87" si="11">G71*F71*E71</f>
        <v>0</v>
      </c>
      <c r="I71" s="508">
        <f>'外壁実効温度差（ETD)一覧表'!O60</f>
        <v>4.0999999999999996</v>
      </c>
      <c r="J71" s="507">
        <f>I71*F71*E71</f>
        <v>0</v>
      </c>
      <c r="K71" s="508">
        <f>'外壁実効温度差（ETD)一覧表'!R60</f>
        <v>6.1</v>
      </c>
      <c r="L71" s="510">
        <f t="shared" ref="L71:L87" si="12">K71*F71*E71</f>
        <v>0</v>
      </c>
      <c r="M71" s="511">
        <f t="shared" ref="M71:M87" si="13">20--1.5</f>
        <v>21.5</v>
      </c>
      <c r="N71" s="512">
        <v>1.1000000000000001</v>
      </c>
      <c r="O71" s="582">
        <f>'熱負荷計算シート (2)'!N45</f>
        <v>1.1000000000000001</v>
      </c>
      <c r="P71" s="514">
        <f>'熱負荷計算シート (2)'!M45</f>
        <v>21.5</v>
      </c>
      <c r="Q71" s="510">
        <f>M71*F71*E71*N71</f>
        <v>0</v>
      </c>
    </row>
    <row r="72" spans="2:17">
      <c r="B72" s="1211"/>
      <c r="C72" s="1336"/>
      <c r="D72" s="469" t="s">
        <v>701</v>
      </c>
      <c r="E72" s="446">
        <f t="shared" si="10"/>
        <v>0</v>
      </c>
      <c r="F72" s="583">
        <f>入力!D78</f>
        <v>2</v>
      </c>
      <c r="G72" s="516">
        <f>'外壁実効温度差（ETD)一覧表'!L61</f>
        <v>7.1</v>
      </c>
      <c r="H72" s="517">
        <f t="shared" si="11"/>
        <v>0</v>
      </c>
      <c r="I72" s="518">
        <f>'外壁実効温度差（ETD)一覧表'!O61</f>
        <v>9.1</v>
      </c>
      <c r="J72" s="517">
        <f>I72*F72*E72</f>
        <v>0</v>
      </c>
      <c r="K72" s="518">
        <f>'外壁実効温度差（ETD)一覧表'!R61</f>
        <v>9.1</v>
      </c>
      <c r="L72" s="520">
        <f t="shared" si="12"/>
        <v>0</v>
      </c>
      <c r="M72" s="521">
        <f t="shared" si="13"/>
        <v>21.5</v>
      </c>
      <c r="N72" s="473">
        <v>1.05</v>
      </c>
      <c r="O72" s="584">
        <f>'熱負荷計算シート (2)'!N46</f>
        <v>1.05</v>
      </c>
      <c r="P72" s="523">
        <f>'熱負荷計算シート (2)'!M46</f>
        <v>21.5</v>
      </c>
      <c r="Q72" s="520">
        <f>M72*F72*E72*N72</f>
        <v>0</v>
      </c>
    </row>
    <row r="73" spans="2:17">
      <c r="B73" s="1211"/>
      <c r="C73" s="1336"/>
      <c r="D73" s="469" t="s">
        <v>702</v>
      </c>
      <c r="E73" s="446">
        <f t="shared" si="10"/>
        <v>0</v>
      </c>
      <c r="F73" s="583">
        <f>入力!D79</f>
        <v>1.18</v>
      </c>
      <c r="G73" s="516">
        <f>'外壁実効温度差（ETD)一覧表'!L62</f>
        <v>8.1</v>
      </c>
      <c r="H73" s="517">
        <f t="shared" si="11"/>
        <v>0</v>
      </c>
      <c r="I73" s="518">
        <f>'外壁実効温度差（ETD)一覧表'!O62</f>
        <v>12.1</v>
      </c>
      <c r="J73" s="517">
        <f t="shared" ref="J73:J87" si="14">I73*F73*E73</f>
        <v>0</v>
      </c>
      <c r="K73" s="518">
        <f>'外壁実効温度差（ETD)一覧表'!R62</f>
        <v>11.1</v>
      </c>
      <c r="L73" s="520">
        <f t="shared" si="12"/>
        <v>0</v>
      </c>
      <c r="M73" s="521">
        <f t="shared" si="13"/>
        <v>21.5</v>
      </c>
      <c r="N73" s="473">
        <v>1.05</v>
      </c>
      <c r="O73" s="584">
        <f>'熱負荷計算シート (2)'!N47</f>
        <v>1.05</v>
      </c>
      <c r="P73" s="523">
        <f>'熱負荷計算シート (2)'!M47</f>
        <v>21.5</v>
      </c>
      <c r="Q73" s="520">
        <f t="shared" ref="Q73:Q77" si="15">M73*F73*E73*N73</f>
        <v>0</v>
      </c>
    </row>
    <row r="74" spans="2:17">
      <c r="B74" s="1211"/>
      <c r="C74" s="1336"/>
      <c r="D74" s="469" t="s">
        <v>703</v>
      </c>
      <c r="E74" s="446">
        <f t="shared" si="10"/>
        <v>0</v>
      </c>
      <c r="F74" s="583">
        <f>入力!D80</f>
        <v>1.18</v>
      </c>
      <c r="G74" s="516">
        <f>'外壁実効温度差（ETD)一覧表'!L63</f>
        <v>6.1</v>
      </c>
      <c r="H74" s="517">
        <f t="shared" si="11"/>
        <v>0</v>
      </c>
      <c r="I74" s="518">
        <f>'外壁実効温度差（ETD)一覧表'!O63</f>
        <v>11.1</v>
      </c>
      <c r="J74" s="517">
        <f t="shared" si="14"/>
        <v>0</v>
      </c>
      <c r="K74" s="518">
        <f>'外壁実効温度差（ETD)一覧表'!R63</f>
        <v>11.1</v>
      </c>
      <c r="L74" s="520">
        <f t="shared" si="12"/>
        <v>0</v>
      </c>
      <c r="M74" s="521">
        <f t="shared" si="13"/>
        <v>21.5</v>
      </c>
      <c r="N74" s="473">
        <v>1.05</v>
      </c>
      <c r="O74" s="584">
        <f>'熱負荷計算シート (2)'!N48</f>
        <v>1.05</v>
      </c>
      <c r="P74" s="523">
        <f>'熱負荷計算シート (2)'!M48</f>
        <v>21.5</v>
      </c>
      <c r="Q74" s="520">
        <f t="shared" si="15"/>
        <v>0</v>
      </c>
    </row>
    <row r="75" spans="2:17">
      <c r="B75" s="1211"/>
      <c r="C75" s="1336"/>
      <c r="D75" s="469" t="s">
        <v>704</v>
      </c>
      <c r="E75" s="446">
        <f t="shared" si="10"/>
        <v>0</v>
      </c>
      <c r="F75" s="583">
        <f>入力!D81</f>
        <v>1.18</v>
      </c>
      <c r="G75" s="516">
        <f>'外壁実効温度差（ETD)一覧表'!L64</f>
        <v>2.1</v>
      </c>
      <c r="H75" s="517">
        <f t="shared" si="11"/>
        <v>0</v>
      </c>
      <c r="I75" s="518">
        <f>'外壁実効温度差（ETD)一覧表'!O64</f>
        <v>5.0999999999999996</v>
      </c>
      <c r="J75" s="517">
        <f t="shared" si="14"/>
        <v>0</v>
      </c>
      <c r="K75" s="518">
        <f>'外壁実効温度差（ETD)一覧表'!R64</f>
        <v>9.1</v>
      </c>
      <c r="L75" s="520">
        <f t="shared" si="12"/>
        <v>0</v>
      </c>
      <c r="M75" s="521">
        <f t="shared" si="13"/>
        <v>21.5</v>
      </c>
      <c r="N75" s="473">
        <v>1</v>
      </c>
      <c r="O75" s="585">
        <f>'熱負荷計算シート (2)'!N49</f>
        <v>1</v>
      </c>
      <c r="P75" s="523">
        <f>'熱負荷計算シート (2)'!M49</f>
        <v>21.5</v>
      </c>
      <c r="Q75" s="520">
        <f t="shared" si="15"/>
        <v>0</v>
      </c>
    </row>
    <row r="76" spans="2:17">
      <c r="B76" s="1211"/>
      <c r="C76" s="1336"/>
      <c r="D76" s="469" t="s">
        <v>705</v>
      </c>
      <c r="E76" s="446">
        <f t="shared" si="10"/>
        <v>0</v>
      </c>
      <c r="F76" s="583">
        <f>入力!D82</f>
        <v>1.18</v>
      </c>
      <c r="G76" s="516">
        <f>'外壁実効温度差（ETD)一覧表'!L65</f>
        <v>2.1</v>
      </c>
      <c r="H76" s="517">
        <f t="shared" si="11"/>
        <v>0</v>
      </c>
      <c r="I76" s="518">
        <f>'外壁実効温度差（ETD)一覧表'!O65</f>
        <v>4.0999999999999996</v>
      </c>
      <c r="J76" s="517">
        <f t="shared" si="14"/>
        <v>0</v>
      </c>
      <c r="K76" s="518">
        <f>'外壁実効温度差（ETD)一覧表'!R65</f>
        <v>9.1</v>
      </c>
      <c r="L76" s="520">
        <f t="shared" si="12"/>
        <v>0</v>
      </c>
      <c r="M76" s="521">
        <f t="shared" si="13"/>
        <v>21.5</v>
      </c>
      <c r="N76" s="473">
        <v>1.05</v>
      </c>
      <c r="O76" s="584">
        <f>'熱負荷計算シート (2)'!N50</f>
        <v>1.05</v>
      </c>
      <c r="P76" s="523">
        <f>'熱負荷計算シート (2)'!M50</f>
        <v>21.5</v>
      </c>
      <c r="Q76" s="520">
        <f t="shared" si="15"/>
        <v>0</v>
      </c>
    </row>
    <row r="77" spans="2:17">
      <c r="B77" s="1211"/>
      <c r="C77" s="1336"/>
      <c r="D77" s="469" t="s">
        <v>706</v>
      </c>
      <c r="E77" s="446">
        <f t="shared" si="10"/>
        <v>0</v>
      </c>
      <c r="F77" s="583">
        <f>入力!D83</f>
        <v>1.18</v>
      </c>
      <c r="G77" s="516">
        <f>'外壁実効温度差（ETD)一覧表'!L66</f>
        <v>2.1</v>
      </c>
      <c r="H77" s="517">
        <f t="shared" si="11"/>
        <v>0</v>
      </c>
      <c r="I77" s="518">
        <f>'外壁実効温度差（ETD)一覧表'!O66</f>
        <v>4.0999999999999996</v>
      </c>
      <c r="J77" s="517">
        <f t="shared" si="14"/>
        <v>0</v>
      </c>
      <c r="K77" s="518">
        <f>'外壁実効温度差（ETD)一覧表'!R66</f>
        <v>8.1</v>
      </c>
      <c r="L77" s="520">
        <f t="shared" si="12"/>
        <v>0</v>
      </c>
      <c r="M77" s="521">
        <f t="shared" si="13"/>
        <v>21.5</v>
      </c>
      <c r="N77" s="473">
        <v>1.1000000000000001</v>
      </c>
      <c r="O77" s="584">
        <f>'熱負荷計算シート (2)'!N51</f>
        <v>1.1000000000000001</v>
      </c>
      <c r="P77" s="523">
        <f>'熱負荷計算シート (2)'!M51</f>
        <v>21.5</v>
      </c>
      <c r="Q77" s="520">
        <f t="shared" si="15"/>
        <v>0</v>
      </c>
    </row>
    <row r="78" spans="2:17" ht="15" thickBot="1">
      <c r="B78" s="1211"/>
      <c r="C78" s="1337"/>
      <c r="D78" s="486" t="s">
        <v>707</v>
      </c>
      <c r="E78" s="476">
        <f t="shared" si="10"/>
        <v>0</v>
      </c>
      <c r="F78" s="586">
        <f>入力!D84</f>
        <v>1.18</v>
      </c>
      <c r="G78" s="539">
        <f>'外壁実効温度差（ETD)一覧表'!L67</f>
        <v>2.1</v>
      </c>
      <c r="H78" s="540">
        <f t="shared" si="11"/>
        <v>0</v>
      </c>
      <c r="I78" s="541">
        <f>'外壁実効温度差（ETD)一覧表'!O67</f>
        <v>4.0999999999999996</v>
      </c>
      <c r="J78" s="540">
        <f t="shared" si="14"/>
        <v>0</v>
      </c>
      <c r="K78" s="541">
        <f>'外壁実効温度差（ETD)一覧表'!R67</f>
        <v>6.1</v>
      </c>
      <c r="L78" s="534">
        <f t="shared" si="12"/>
        <v>0</v>
      </c>
      <c r="M78" s="531">
        <f t="shared" si="13"/>
        <v>21.5</v>
      </c>
      <c r="N78" s="478">
        <v>1.1000000000000001</v>
      </c>
      <c r="O78" s="587">
        <f>'熱負荷計算シート (2)'!N52</f>
        <v>1.1000000000000001</v>
      </c>
      <c r="P78" s="533">
        <f>'熱負荷計算シート (2)'!M52</f>
        <v>21.5</v>
      </c>
      <c r="Q78" s="534">
        <f>M78*F78*E78*N78</f>
        <v>0</v>
      </c>
    </row>
    <row r="79" spans="2:17" ht="15" thickBot="1">
      <c r="B79" s="1211"/>
      <c r="C79" s="1209" t="s">
        <v>1014</v>
      </c>
      <c r="D79" s="1158"/>
      <c r="E79" s="1158"/>
      <c r="F79" s="1159"/>
      <c r="G79" s="831"/>
      <c r="H79" s="572">
        <f>SUBTOTAL(9,H71:H78)</f>
        <v>0</v>
      </c>
      <c r="I79" s="832"/>
      <c r="J79" s="572">
        <f>SUBTOTAL(9,J71:J78)</f>
        <v>0</v>
      </c>
      <c r="K79" s="833"/>
      <c r="L79" s="834">
        <f>SUBTOTAL(9,L71:L78)</f>
        <v>0</v>
      </c>
      <c r="M79" s="812"/>
      <c r="N79" s="817"/>
      <c r="O79" s="837"/>
      <c r="P79" s="816"/>
      <c r="Q79" s="504">
        <f>SUBTOTAL(9,Q71:Q78)</f>
        <v>0</v>
      </c>
    </row>
    <row r="80" spans="2:17">
      <c r="B80" s="1211"/>
      <c r="C80" s="1338" t="s">
        <v>708</v>
      </c>
      <c r="D80" s="462" t="s">
        <v>700</v>
      </c>
      <c r="E80" s="463">
        <f t="shared" ref="E80:E87" si="16">E40</f>
        <v>0</v>
      </c>
      <c r="F80" s="588">
        <f>入力!G113</f>
        <v>5.95</v>
      </c>
      <c r="G80" s="506">
        <f t="shared" ref="G80:G87" si="17">G40</f>
        <v>3.8999999999999986</v>
      </c>
      <c r="H80" s="507">
        <f t="shared" si="11"/>
        <v>0</v>
      </c>
      <c r="I80" s="508">
        <f t="shared" ref="I80:I87" si="18">I40</f>
        <v>3.8999999999999986</v>
      </c>
      <c r="J80" s="507">
        <f t="shared" si="14"/>
        <v>0</v>
      </c>
      <c r="K80" s="508">
        <f t="shared" ref="K80" si="19">K40</f>
        <v>3.8999999999999986</v>
      </c>
      <c r="L80" s="510">
        <f t="shared" si="12"/>
        <v>0</v>
      </c>
      <c r="M80" s="589">
        <f t="shared" si="13"/>
        <v>21.5</v>
      </c>
      <c r="N80" s="838">
        <v>1.1000000000000001</v>
      </c>
      <c r="O80" s="839">
        <f>'熱負荷計算シート (2)'!N53</f>
        <v>1.1000000000000001</v>
      </c>
      <c r="P80" s="814">
        <f>'熱負荷計算シート (2)'!M53</f>
        <v>21.5</v>
      </c>
      <c r="Q80" s="566">
        <f>M80*F80*E80*N80</f>
        <v>0</v>
      </c>
    </row>
    <row r="81" spans="2:17">
      <c r="B81" s="1211"/>
      <c r="C81" s="1336"/>
      <c r="D81" s="469" t="s">
        <v>701</v>
      </c>
      <c r="E81" s="446">
        <f t="shared" si="16"/>
        <v>0</v>
      </c>
      <c r="F81" s="567">
        <f>入力!G114</f>
        <v>5.95</v>
      </c>
      <c r="G81" s="516">
        <f t="shared" si="17"/>
        <v>3.8999999999999986</v>
      </c>
      <c r="H81" s="517">
        <f t="shared" si="11"/>
        <v>0</v>
      </c>
      <c r="I81" s="518">
        <f t="shared" si="18"/>
        <v>3.8999999999999986</v>
      </c>
      <c r="J81" s="517">
        <f t="shared" si="14"/>
        <v>0</v>
      </c>
      <c r="K81" s="518">
        <f t="shared" ref="K81" si="20">K41</f>
        <v>3.8999999999999986</v>
      </c>
      <c r="L81" s="520">
        <f t="shared" si="12"/>
        <v>0</v>
      </c>
      <c r="M81" s="590">
        <f t="shared" si="13"/>
        <v>21.5</v>
      </c>
      <c r="N81" s="473">
        <v>1.05</v>
      </c>
      <c r="O81" s="584">
        <f>'熱負荷計算シート (2)'!N54</f>
        <v>1.05</v>
      </c>
      <c r="P81" s="523">
        <f>'熱負荷計算シート (2)'!M54</f>
        <v>21.5</v>
      </c>
      <c r="Q81" s="520">
        <f>M81*F81*E81*N81</f>
        <v>0</v>
      </c>
    </row>
    <row r="82" spans="2:17">
      <c r="B82" s="1211"/>
      <c r="C82" s="1336"/>
      <c r="D82" s="469" t="s">
        <v>702</v>
      </c>
      <c r="E82" s="446">
        <f t="shared" si="16"/>
        <v>0</v>
      </c>
      <c r="F82" s="567">
        <f>入力!G115</f>
        <v>5.95</v>
      </c>
      <c r="G82" s="516">
        <f t="shared" si="17"/>
        <v>3.8999999999999986</v>
      </c>
      <c r="H82" s="517">
        <f t="shared" si="11"/>
        <v>0</v>
      </c>
      <c r="I82" s="518">
        <f t="shared" si="18"/>
        <v>3.8999999999999986</v>
      </c>
      <c r="J82" s="517">
        <f t="shared" si="14"/>
        <v>0</v>
      </c>
      <c r="K82" s="518">
        <f t="shared" ref="K82" si="21">K42</f>
        <v>3.8999999999999986</v>
      </c>
      <c r="L82" s="520">
        <f t="shared" si="12"/>
        <v>0</v>
      </c>
      <c r="M82" s="590">
        <f t="shared" si="13"/>
        <v>21.5</v>
      </c>
      <c r="N82" s="473">
        <v>1.05</v>
      </c>
      <c r="O82" s="584">
        <f>'熱負荷計算シート (2)'!N55</f>
        <v>1.05</v>
      </c>
      <c r="P82" s="523">
        <f>'熱負荷計算シート (2)'!M55</f>
        <v>21.5</v>
      </c>
      <c r="Q82" s="520">
        <f t="shared" ref="Q82:Q86" si="22">M82*F82*E82*N82</f>
        <v>0</v>
      </c>
    </row>
    <row r="83" spans="2:17">
      <c r="B83" s="1211"/>
      <c r="C83" s="1336"/>
      <c r="D83" s="469" t="s">
        <v>703</v>
      </c>
      <c r="E83" s="446">
        <f t="shared" si="16"/>
        <v>0</v>
      </c>
      <c r="F83" s="567">
        <f>入力!G116</f>
        <v>5.95</v>
      </c>
      <c r="G83" s="516">
        <f t="shared" si="17"/>
        <v>3.8999999999999986</v>
      </c>
      <c r="H83" s="517">
        <f t="shared" si="11"/>
        <v>0</v>
      </c>
      <c r="I83" s="518">
        <f t="shared" si="18"/>
        <v>3.8999999999999986</v>
      </c>
      <c r="J83" s="517">
        <f t="shared" si="14"/>
        <v>0</v>
      </c>
      <c r="K83" s="518">
        <f t="shared" ref="K83" si="23">K43</f>
        <v>3.8999999999999986</v>
      </c>
      <c r="L83" s="520">
        <f t="shared" si="12"/>
        <v>0</v>
      </c>
      <c r="M83" s="590">
        <f t="shared" si="13"/>
        <v>21.5</v>
      </c>
      <c r="N83" s="473">
        <v>1.05</v>
      </c>
      <c r="O83" s="584">
        <f>'熱負荷計算シート (2)'!N56</f>
        <v>1.05</v>
      </c>
      <c r="P83" s="523">
        <f>'熱負荷計算シート (2)'!M56</f>
        <v>21.5</v>
      </c>
      <c r="Q83" s="520">
        <f t="shared" si="22"/>
        <v>0</v>
      </c>
    </row>
    <row r="84" spans="2:17">
      <c r="B84" s="1211"/>
      <c r="C84" s="1336"/>
      <c r="D84" s="469" t="s">
        <v>704</v>
      </c>
      <c r="E84" s="446">
        <f t="shared" si="16"/>
        <v>0</v>
      </c>
      <c r="F84" s="567">
        <f>入力!G117</f>
        <v>5.95</v>
      </c>
      <c r="G84" s="516">
        <f t="shared" si="17"/>
        <v>3.8999999999999986</v>
      </c>
      <c r="H84" s="517">
        <f t="shared" si="11"/>
        <v>0</v>
      </c>
      <c r="I84" s="518">
        <f t="shared" si="18"/>
        <v>3.8999999999999986</v>
      </c>
      <c r="J84" s="517">
        <f t="shared" si="14"/>
        <v>0</v>
      </c>
      <c r="K84" s="518">
        <f t="shared" ref="K84" si="24">K44</f>
        <v>3.8999999999999986</v>
      </c>
      <c r="L84" s="520">
        <f t="shared" si="12"/>
        <v>0</v>
      </c>
      <c r="M84" s="590">
        <f t="shared" si="13"/>
        <v>21.5</v>
      </c>
      <c r="N84" s="473">
        <v>1</v>
      </c>
      <c r="O84" s="585">
        <f>'熱負荷計算シート (2)'!N57</f>
        <v>1</v>
      </c>
      <c r="P84" s="523">
        <f>'熱負荷計算シート (2)'!M57</f>
        <v>21.5</v>
      </c>
      <c r="Q84" s="520">
        <f t="shared" si="22"/>
        <v>0</v>
      </c>
    </row>
    <row r="85" spans="2:17">
      <c r="B85" s="1211"/>
      <c r="C85" s="1336"/>
      <c r="D85" s="469" t="s">
        <v>705</v>
      </c>
      <c r="E85" s="446">
        <f t="shared" si="16"/>
        <v>0</v>
      </c>
      <c r="F85" s="567">
        <f>入力!G118</f>
        <v>5.95</v>
      </c>
      <c r="G85" s="516">
        <f t="shared" si="17"/>
        <v>3.8999999999999986</v>
      </c>
      <c r="H85" s="517">
        <f t="shared" si="11"/>
        <v>0</v>
      </c>
      <c r="I85" s="518">
        <f t="shared" si="18"/>
        <v>3.8999999999999986</v>
      </c>
      <c r="J85" s="517">
        <f t="shared" si="14"/>
        <v>0</v>
      </c>
      <c r="K85" s="518">
        <f t="shared" ref="K85" si="25">K45</f>
        <v>3.8999999999999986</v>
      </c>
      <c r="L85" s="520">
        <f t="shared" si="12"/>
        <v>0</v>
      </c>
      <c r="M85" s="590">
        <f t="shared" si="13"/>
        <v>21.5</v>
      </c>
      <c r="N85" s="473">
        <v>1.05</v>
      </c>
      <c r="O85" s="584">
        <f>'熱負荷計算シート (2)'!N58</f>
        <v>1.05</v>
      </c>
      <c r="P85" s="523">
        <f>'熱負荷計算シート (2)'!M58</f>
        <v>21.5</v>
      </c>
      <c r="Q85" s="520">
        <f t="shared" si="22"/>
        <v>0</v>
      </c>
    </row>
    <row r="86" spans="2:17">
      <c r="B86" s="1211"/>
      <c r="C86" s="1336"/>
      <c r="D86" s="469" t="s">
        <v>706</v>
      </c>
      <c r="E86" s="446">
        <f t="shared" si="16"/>
        <v>0</v>
      </c>
      <c r="F86" s="567">
        <f>入力!G119</f>
        <v>5.95</v>
      </c>
      <c r="G86" s="516">
        <f t="shared" si="17"/>
        <v>3.8999999999999986</v>
      </c>
      <c r="H86" s="517">
        <f t="shared" si="11"/>
        <v>0</v>
      </c>
      <c r="I86" s="518">
        <f t="shared" si="18"/>
        <v>3.8999999999999986</v>
      </c>
      <c r="J86" s="517">
        <f t="shared" si="14"/>
        <v>0</v>
      </c>
      <c r="K86" s="518">
        <f t="shared" ref="K86" si="26">K46</f>
        <v>3.8999999999999986</v>
      </c>
      <c r="L86" s="520">
        <f t="shared" si="12"/>
        <v>0</v>
      </c>
      <c r="M86" s="590">
        <f t="shared" si="13"/>
        <v>21.5</v>
      </c>
      <c r="N86" s="473">
        <v>1.1000000000000001</v>
      </c>
      <c r="O86" s="584">
        <f>'熱負荷計算シート (2)'!N59</f>
        <v>1.1000000000000001</v>
      </c>
      <c r="P86" s="523">
        <f>'熱負荷計算シート (2)'!M59</f>
        <v>21.5</v>
      </c>
      <c r="Q86" s="520">
        <f t="shared" si="22"/>
        <v>0</v>
      </c>
    </row>
    <row r="87" spans="2:17" ht="15" thickBot="1">
      <c r="B87" s="1211"/>
      <c r="C87" s="1337"/>
      <c r="D87" s="486" t="s">
        <v>707</v>
      </c>
      <c r="E87" s="476">
        <f t="shared" si="16"/>
        <v>0</v>
      </c>
      <c r="F87" s="568">
        <f>入力!G120</f>
        <v>5.95</v>
      </c>
      <c r="G87" s="539">
        <f t="shared" si="17"/>
        <v>3.8999999999999986</v>
      </c>
      <c r="H87" s="540">
        <f t="shared" si="11"/>
        <v>0</v>
      </c>
      <c r="I87" s="541">
        <f t="shared" si="18"/>
        <v>3.8999999999999986</v>
      </c>
      <c r="J87" s="540">
        <f t="shared" si="14"/>
        <v>0</v>
      </c>
      <c r="K87" s="541">
        <f t="shared" ref="K87" si="27">K47</f>
        <v>3.8999999999999986</v>
      </c>
      <c r="L87" s="534">
        <f t="shared" si="12"/>
        <v>0</v>
      </c>
      <c r="M87" s="591">
        <f t="shared" si="13"/>
        <v>21.5</v>
      </c>
      <c r="N87" s="835">
        <v>1.1000000000000001</v>
      </c>
      <c r="O87" s="836">
        <f>'熱負荷計算シート (2)'!N60</f>
        <v>1.1000000000000001</v>
      </c>
      <c r="P87" s="818">
        <f>'熱負荷計算シート (2)'!M60</f>
        <v>21.5</v>
      </c>
      <c r="Q87" s="530">
        <f>M87*F87*E87*N87</f>
        <v>0</v>
      </c>
    </row>
    <row r="88" spans="2:17" ht="15" thickBot="1">
      <c r="B88" s="1211"/>
      <c r="C88" s="1209" t="s">
        <v>1014</v>
      </c>
      <c r="D88" s="1158"/>
      <c r="E88" s="1158"/>
      <c r="F88" s="1159"/>
      <c r="G88" s="831"/>
      <c r="H88" s="572">
        <f>SUBTOTAL(9,H80:H87)</f>
        <v>0</v>
      </c>
      <c r="I88" s="832"/>
      <c r="J88" s="572">
        <f>SUBTOTAL(9,J80:J87)</f>
        <v>0</v>
      </c>
      <c r="K88" s="833"/>
      <c r="L88" s="834">
        <f>SUBTOTAL(9,L80:L87)</f>
        <v>0</v>
      </c>
      <c r="M88" s="812"/>
      <c r="N88" s="817"/>
      <c r="O88" s="837"/>
      <c r="P88" s="816"/>
      <c r="Q88" s="504">
        <f>SUBTOTAL(9,Q80:Q87)</f>
        <v>0</v>
      </c>
    </row>
    <row r="89" spans="2:17" ht="15" thickBot="1">
      <c r="B89" s="1212"/>
      <c r="C89" s="1213" t="s">
        <v>1015</v>
      </c>
      <c r="D89" s="1214"/>
      <c r="E89" s="1214"/>
      <c r="F89" s="1215"/>
      <c r="G89" s="542"/>
      <c r="H89" s="543">
        <f>H70+H79+H88</f>
        <v>0</v>
      </c>
      <c r="I89" s="544"/>
      <c r="J89" s="543">
        <f>J70+J79+J88</f>
        <v>0</v>
      </c>
      <c r="K89" s="545"/>
      <c r="L89" s="546">
        <f>L70+L79+L88</f>
        <v>0</v>
      </c>
      <c r="M89" s="547"/>
      <c r="N89" s="548"/>
      <c r="O89" s="548"/>
      <c r="P89" s="548"/>
      <c r="Q89" s="504">
        <f>Q70+Q79+Q88</f>
        <v>0</v>
      </c>
    </row>
    <row r="90" spans="2:17">
      <c r="B90" s="1335" t="s">
        <v>867</v>
      </c>
      <c r="C90" s="1340"/>
      <c r="D90" s="1340" t="s">
        <v>868</v>
      </c>
      <c r="E90" s="1340"/>
      <c r="F90" s="1343"/>
      <c r="G90" s="1344" t="s">
        <v>869</v>
      </c>
      <c r="H90" s="1340"/>
      <c r="I90" s="1340"/>
      <c r="J90" s="1340"/>
      <c r="K90" s="1340"/>
      <c r="L90" s="1343"/>
      <c r="M90" s="550"/>
      <c r="N90" s="551"/>
      <c r="O90" s="551"/>
      <c r="P90" s="551"/>
      <c r="Q90" s="552"/>
    </row>
    <row r="91" spans="2:17">
      <c r="B91" s="1336"/>
      <c r="C91" s="1341"/>
      <c r="D91" s="1341" t="s">
        <v>695</v>
      </c>
      <c r="E91" s="1345" t="s">
        <v>871</v>
      </c>
      <c r="F91" s="1346" t="s">
        <v>773</v>
      </c>
      <c r="G91" s="1360" t="s">
        <v>872</v>
      </c>
      <c r="H91" s="1349"/>
      <c r="I91" s="1359" t="s">
        <v>873</v>
      </c>
      <c r="J91" s="1349"/>
      <c r="K91" s="1359" t="s">
        <v>874</v>
      </c>
      <c r="L91" s="1361"/>
      <c r="M91" s="553"/>
      <c r="N91" s="554"/>
      <c r="O91" s="554"/>
      <c r="P91" s="554"/>
      <c r="Q91" s="555"/>
    </row>
    <row r="92" spans="2:17">
      <c r="B92" s="1336"/>
      <c r="C92" s="1341"/>
      <c r="D92" s="1341"/>
      <c r="E92" s="1345"/>
      <c r="F92" s="1347"/>
      <c r="G92" s="556" t="s">
        <v>886</v>
      </c>
      <c r="H92" s="557" t="s">
        <v>869</v>
      </c>
      <c r="I92" s="557" t="s">
        <v>886</v>
      </c>
      <c r="J92" s="557" t="s">
        <v>869</v>
      </c>
      <c r="K92" s="557" t="s">
        <v>886</v>
      </c>
      <c r="L92" s="558" t="s">
        <v>869</v>
      </c>
      <c r="M92" s="553"/>
      <c r="N92" s="554"/>
      <c r="O92" s="554"/>
      <c r="P92" s="554"/>
      <c r="Q92" s="555"/>
    </row>
    <row r="93" spans="2:17" ht="17.25" thickBot="1">
      <c r="B93" s="1337"/>
      <c r="C93" s="1342"/>
      <c r="D93" s="1342"/>
      <c r="E93" s="486" t="s">
        <v>887</v>
      </c>
      <c r="F93" s="489" t="s">
        <v>888</v>
      </c>
      <c r="G93" s="559" t="s">
        <v>889</v>
      </c>
      <c r="H93" s="486" t="s">
        <v>77</v>
      </c>
      <c r="I93" s="486" t="s">
        <v>889</v>
      </c>
      <c r="J93" s="486" t="s">
        <v>77</v>
      </c>
      <c r="K93" s="486" t="s">
        <v>889</v>
      </c>
      <c r="L93" s="489" t="s">
        <v>77</v>
      </c>
      <c r="M93" s="553"/>
      <c r="N93" s="554"/>
      <c r="O93" s="554"/>
      <c r="P93" s="554"/>
      <c r="Q93" s="555"/>
    </row>
    <row r="94" spans="2:17" ht="14.25" customHeight="1">
      <c r="B94" s="1160" t="s">
        <v>890</v>
      </c>
      <c r="C94" s="1348" t="s">
        <v>708</v>
      </c>
      <c r="D94" s="560" t="s">
        <v>700</v>
      </c>
      <c r="E94" s="561">
        <f>E54</f>
        <v>0</v>
      </c>
      <c r="F94" s="562">
        <f>入力!H113</f>
        <v>0.876</v>
      </c>
      <c r="G94" s="563">
        <f t="shared" ref="G94:G101" si="28">G54</f>
        <v>39.06</v>
      </c>
      <c r="H94" s="564">
        <f>G94*F94*E94</f>
        <v>0</v>
      </c>
      <c r="I94" s="565">
        <f t="shared" ref="I94:I101" si="29">I54</f>
        <v>39.99</v>
      </c>
      <c r="J94" s="564">
        <f>I94*F94*E94</f>
        <v>0</v>
      </c>
      <c r="K94" s="565">
        <f t="shared" ref="K94:K101" si="30">K54</f>
        <v>37.200000000000003</v>
      </c>
      <c r="L94" s="566">
        <f>K94*F94*E94</f>
        <v>0</v>
      </c>
      <c r="M94" s="553"/>
      <c r="N94" s="554"/>
      <c r="O94" s="554"/>
      <c r="P94" s="554"/>
      <c r="Q94" s="555"/>
    </row>
    <row r="95" spans="2:17">
      <c r="B95" s="1161"/>
      <c r="C95" s="1349"/>
      <c r="D95" s="469" t="s">
        <v>701</v>
      </c>
      <c r="E95" s="446">
        <f t="shared" ref="E95:E101" si="31">E55</f>
        <v>0</v>
      </c>
      <c r="F95" s="567">
        <f>入力!H114</f>
        <v>0.876</v>
      </c>
      <c r="G95" s="592">
        <f t="shared" si="28"/>
        <v>227.85000000000002</v>
      </c>
      <c r="H95" s="517">
        <f t="shared" ref="H95:H96" si="32">G95*F95*E95</f>
        <v>0</v>
      </c>
      <c r="I95" s="593">
        <f t="shared" si="29"/>
        <v>39.99</v>
      </c>
      <c r="J95" s="517">
        <f t="shared" ref="J95:J101" si="33">I95*F95*E95</f>
        <v>0</v>
      </c>
      <c r="K95" s="593">
        <f t="shared" si="30"/>
        <v>37.200000000000003</v>
      </c>
      <c r="L95" s="520">
        <f t="shared" ref="L95:L101" si="34">K95*F95*E95</f>
        <v>0</v>
      </c>
      <c r="M95" s="553"/>
      <c r="N95" s="554"/>
      <c r="O95" s="554"/>
      <c r="P95" s="554"/>
      <c r="Q95" s="555"/>
    </row>
    <row r="96" spans="2:17">
      <c r="B96" s="1161"/>
      <c r="C96" s="1349"/>
      <c r="D96" s="469" t="s">
        <v>702</v>
      </c>
      <c r="E96" s="446">
        <f t="shared" si="31"/>
        <v>0</v>
      </c>
      <c r="F96" s="567">
        <f>入力!H115</f>
        <v>0.876</v>
      </c>
      <c r="G96" s="592">
        <f t="shared" si="28"/>
        <v>456.63000000000005</v>
      </c>
      <c r="H96" s="517">
        <f t="shared" si="32"/>
        <v>0</v>
      </c>
      <c r="I96" s="593">
        <f t="shared" si="29"/>
        <v>39.99</v>
      </c>
      <c r="J96" s="517">
        <f t="shared" si="33"/>
        <v>0</v>
      </c>
      <c r="K96" s="593">
        <f t="shared" si="30"/>
        <v>37.200000000000003</v>
      </c>
      <c r="L96" s="520">
        <f t="shared" si="34"/>
        <v>0</v>
      </c>
      <c r="M96" s="553"/>
      <c r="N96" s="554"/>
      <c r="O96" s="554"/>
      <c r="P96" s="554"/>
      <c r="Q96" s="555"/>
    </row>
    <row r="97" spans="2:18">
      <c r="B97" s="1161"/>
      <c r="C97" s="1349"/>
      <c r="D97" s="469" t="s">
        <v>703</v>
      </c>
      <c r="E97" s="446">
        <f t="shared" si="31"/>
        <v>0</v>
      </c>
      <c r="F97" s="567">
        <f>入力!H116</f>
        <v>0.876</v>
      </c>
      <c r="G97" s="592">
        <f t="shared" si="28"/>
        <v>380.37</v>
      </c>
      <c r="H97" s="517">
        <f>G97*F97*E97</f>
        <v>0</v>
      </c>
      <c r="I97" s="593">
        <f t="shared" si="29"/>
        <v>86.490000000000009</v>
      </c>
      <c r="J97" s="517">
        <f t="shared" si="33"/>
        <v>0</v>
      </c>
      <c r="K97" s="593">
        <f t="shared" si="30"/>
        <v>37.200000000000003</v>
      </c>
      <c r="L97" s="520">
        <f t="shared" si="34"/>
        <v>0</v>
      </c>
      <c r="M97" s="553"/>
      <c r="N97" s="554"/>
      <c r="O97" s="554"/>
      <c r="P97" s="554"/>
      <c r="Q97" s="555"/>
    </row>
    <row r="98" spans="2:18">
      <c r="B98" s="1161"/>
      <c r="C98" s="1349"/>
      <c r="D98" s="469" t="s">
        <v>704</v>
      </c>
      <c r="E98" s="446">
        <f t="shared" si="31"/>
        <v>0</v>
      </c>
      <c r="F98" s="567">
        <f>入力!H117</f>
        <v>0.876</v>
      </c>
      <c r="G98" s="592">
        <f t="shared" si="28"/>
        <v>71.61</v>
      </c>
      <c r="H98" s="517">
        <f t="shared" ref="H98:H101" si="35">G98*F98*E98</f>
        <v>0</v>
      </c>
      <c r="I98" s="593">
        <f t="shared" si="29"/>
        <v>167.4</v>
      </c>
      <c r="J98" s="517">
        <f t="shared" si="33"/>
        <v>0</v>
      </c>
      <c r="K98" s="593">
        <f t="shared" si="30"/>
        <v>52.080000000000005</v>
      </c>
      <c r="L98" s="520">
        <f t="shared" si="34"/>
        <v>0</v>
      </c>
      <c r="M98" s="553"/>
      <c r="N98" s="554"/>
      <c r="O98" s="554"/>
      <c r="P98" s="554"/>
      <c r="Q98" s="555"/>
    </row>
    <row r="99" spans="2:18">
      <c r="B99" s="1161"/>
      <c r="C99" s="1349"/>
      <c r="D99" s="469" t="s">
        <v>705</v>
      </c>
      <c r="E99" s="446">
        <f t="shared" si="31"/>
        <v>0</v>
      </c>
      <c r="F99" s="567">
        <f>入力!H118</f>
        <v>0.876</v>
      </c>
      <c r="G99" s="592">
        <f t="shared" si="28"/>
        <v>39.06</v>
      </c>
      <c r="H99" s="517">
        <f t="shared" si="35"/>
        <v>0</v>
      </c>
      <c r="I99" s="593">
        <f t="shared" si="29"/>
        <v>136.71</v>
      </c>
      <c r="J99" s="517">
        <f t="shared" si="33"/>
        <v>0</v>
      </c>
      <c r="K99" s="593">
        <f t="shared" si="30"/>
        <v>390.6</v>
      </c>
      <c r="L99" s="520">
        <f t="shared" si="34"/>
        <v>0</v>
      </c>
      <c r="M99" s="553"/>
      <c r="N99" s="554"/>
      <c r="O99" s="554"/>
      <c r="P99" s="554"/>
      <c r="Q99" s="555"/>
    </row>
    <row r="100" spans="2:18">
      <c r="B100" s="1161"/>
      <c r="C100" s="1349"/>
      <c r="D100" s="469" t="s">
        <v>706</v>
      </c>
      <c r="E100" s="446">
        <f t="shared" si="31"/>
        <v>0</v>
      </c>
      <c r="F100" s="567">
        <f>入力!H119</f>
        <v>0.876</v>
      </c>
      <c r="G100" s="592">
        <f t="shared" si="28"/>
        <v>39.06</v>
      </c>
      <c r="H100" s="517">
        <f t="shared" si="35"/>
        <v>0</v>
      </c>
      <c r="I100" s="593">
        <f t="shared" si="29"/>
        <v>46.5</v>
      </c>
      <c r="J100" s="517">
        <f t="shared" si="33"/>
        <v>0</v>
      </c>
      <c r="K100" s="593">
        <f t="shared" si="30"/>
        <v>504.99</v>
      </c>
      <c r="L100" s="520">
        <f t="shared" si="34"/>
        <v>0</v>
      </c>
      <c r="M100" s="553"/>
      <c r="N100" s="554"/>
      <c r="O100" s="554"/>
      <c r="P100" s="554"/>
      <c r="Q100" s="555"/>
    </row>
    <row r="101" spans="2:18" ht="15" thickBot="1">
      <c r="B101" s="1161"/>
      <c r="C101" s="1350"/>
      <c r="D101" s="486" t="s">
        <v>707</v>
      </c>
      <c r="E101" s="476">
        <f t="shared" si="31"/>
        <v>0</v>
      </c>
      <c r="F101" s="568">
        <f>入力!H120</f>
        <v>0.876</v>
      </c>
      <c r="G101" s="594">
        <f t="shared" si="28"/>
        <v>39.06</v>
      </c>
      <c r="H101" s="540">
        <f t="shared" si="35"/>
        <v>0</v>
      </c>
      <c r="I101" s="594">
        <f t="shared" si="29"/>
        <v>39.99</v>
      </c>
      <c r="J101" s="540">
        <f t="shared" si="33"/>
        <v>0</v>
      </c>
      <c r="K101" s="594">
        <f t="shared" si="30"/>
        <v>292.95</v>
      </c>
      <c r="L101" s="534">
        <f t="shared" si="34"/>
        <v>0</v>
      </c>
      <c r="M101" s="553"/>
      <c r="N101" s="554"/>
      <c r="O101" s="554"/>
      <c r="P101" s="554"/>
      <c r="Q101" s="555"/>
    </row>
    <row r="102" spans="2:18" ht="15" thickBot="1">
      <c r="B102" s="1162"/>
      <c r="C102" s="1158" t="s">
        <v>1014</v>
      </c>
      <c r="D102" s="1158"/>
      <c r="E102" s="1158"/>
      <c r="F102" s="1159"/>
      <c r="G102" s="848"/>
      <c r="H102" s="569">
        <f>SUM(H94:H101)</f>
        <v>0</v>
      </c>
      <c r="I102" s="813"/>
      <c r="J102" s="569">
        <f>SUM(J94:J101)</f>
        <v>0</v>
      </c>
      <c r="K102" s="813"/>
      <c r="L102" s="569">
        <f>SUM(L94:L101)</f>
        <v>0</v>
      </c>
      <c r="M102" s="570"/>
      <c r="N102" s="549"/>
      <c r="O102" s="549"/>
      <c r="P102" s="549"/>
      <c r="Q102" s="571"/>
    </row>
    <row r="103" spans="2:18" ht="15" thickBot="1">
      <c r="B103" s="1351" t="s">
        <v>891</v>
      </c>
      <c r="C103" s="1352"/>
      <c r="D103" s="1352"/>
      <c r="E103" s="1353"/>
      <c r="F103" s="548"/>
      <c r="G103" s="547"/>
      <c r="H103" s="572">
        <f>H102+H89</f>
        <v>0</v>
      </c>
      <c r="I103" s="548"/>
      <c r="J103" s="572">
        <f>J102+J89</f>
        <v>0</v>
      </c>
      <c r="K103" s="548"/>
      <c r="L103" s="572">
        <f>L102+L89</f>
        <v>0</v>
      </c>
      <c r="M103" s="548"/>
      <c r="N103" s="548"/>
      <c r="O103" s="548"/>
      <c r="P103" s="548"/>
      <c r="Q103" s="504">
        <f>Q89</f>
        <v>0</v>
      </c>
    </row>
    <row r="105" spans="2:18" hidden="1"/>
    <row r="106" spans="2:18" ht="18.75" thickBot="1">
      <c r="B106" s="1368" t="s">
        <v>893</v>
      </c>
      <c r="C106" s="1368"/>
      <c r="D106" s="1368"/>
      <c r="E106" s="1368"/>
      <c r="F106" s="1368"/>
      <c r="G106" s="1368"/>
      <c r="H106" s="1368"/>
      <c r="I106" s="1368"/>
      <c r="J106" s="1368"/>
      <c r="K106" s="1368"/>
      <c r="L106" s="1368"/>
      <c r="M106" s="1368"/>
      <c r="N106" s="1368"/>
      <c r="O106" s="1368"/>
      <c r="P106" s="1368"/>
      <c r="Q106" s="1368"/>
    </row>
    <row r="107" spans="2:18" ht="13.5" customHeight="1">
      <c r="B107" s="1373" t="s">
        <v>789</v>
      </c>
      <c r="C107" s="1379"/>
      <c r="D107" s="1379"/>
      <c r="E107" s="1379"/>
      <c r="F107" s="1380"/>
      <c r="G107" s="1426" t="s">
        <v>894</v>
      </c>
      <c r="H107" s="1412"/>
      <c r="I107" s="1412"/>
      <c r="J107" s="1412"/>
      <c r="K107" s="1412"/>
      <c r="L107" s="1414"/>
      <c r="M107" s="1373" t="s">
        <v>895</v>
      </c>
      <c r="N107" s="1374"/>
      <c r="O107" s="1374"/>
      <c r="P107" s="1374"/>
      <c r="Q107" s="1375"/>
    </row>
    <row r="108" spans="2:18" ht="13.5" customHeight="1" thickBot="1">
      <c r="B108" s="1376"/>
      <c r="C108" s="1381"/>
      <c r="D108" s="1381"/>
      <c r="E108" s="1381"/>
      <c r="F108" s="1371"/>
      <c r="G108" s="1369" t="s">
        <v>896</v>
      </c>
      <c r="H108" s="1370"/>
      <c r="I108" s="1371" t="s">
        <v>897</v>
      </c>
      <c r="J108" s="1370"/>
      <c r="K108" s="1371" t="s">
        <v>898</v>
      </c>
      <c r="L108" s="1372"/>
      <c r="M108" s="1376"/>
      <c r="N108" s="1377"/>
      <c r="O108" s="1377"/>
      <c r="P108" s="1377"/>
      <c r="Q108" s="1378"/>
    </row>
    <row r="109" spans="2:18" ht="13.5" customHeight="1">
      <c r="B109" s="1423" t="s">
        <v>899</v>
      </c>
      <c r="C109" s="1424"/>
      <c r="D109" s="1424"/>
      <c r="E109" s="1424"/>
      <c r="F109" s="1425"/>
      <c r="G109" s="1366">
        <f>H63</f>
        <v>0</v>
      </c>
      <c r="H109" s="1364"/>
      <c r="I109" s="1363">
        <f>J63</f>
        <v>0</v>
      </c>
      <c r="J109" s="1364"/>
      <c r="K109" s="1363">
        <f>L63</f>
        <v>0</v>
      </c>
      <c r="L109" s="1365"/>
      <c r="M109" s="1366">
        <f>Q63</f>
        <v>0</v>
      </c>
      <c r="N109" s="1367"/>
      <c r="O109" s="1367"/>
      <c r="P109" s="1367"/>
      <c r="Q109" s="1365"/>
      <c r="R109" s="595"/>
    </row>
    <row r="110" spans="2:18" ht="13.5" customHeight="1" thickBot="1">
      <c r="B110" s="1419" t="s">
        <v>900</v>
      </c>
      <c r="C110" s="1420"/>
      <c r="D110" s="1420"/>
      <c r="E110" s="1420"/>
      <c r="F110" s="1421"/>
      <c r="G110" s="1409">
        <f>H103</f>
        <v>0</v>
      </c>
      <c r="H110" s="1422"/>
      <c r="I110" s="1407">
        <f>J103</f>
        <v>0</v>
      </c>
      <c r="J110" s="1422"/>
      <c r="K110" s="1407">
        <f>L103</f>
        <v>0</v>
      </c>
      <c r="L110" s="1408"/>
      <c r="M110" s="1409">
        <f>Q103</f>
        <v>0</v>
      </c>
      <c r="N110" s="1410"/>
      <c r="O110" s="1410"/>
      <c r="P110" s="1410"/>
      <c r="Q110" s="1408"/>
    </row>
    <row r="111" spans="2:18" ht="13.5" customHeight="1" thickBot="1">
      <c r="B111" s="1416" t="s">
        <v>901</v>
      </c>
      <c r="C111" s="1417"/>
      <c r="D111" s="1417"/>
      <c r="E111" s="1417"/>
      <c r="F111" s="1418"/>
      <c r="G111" s="1411">
        <f>G109-G110</f>
        <v>0</v>
      </c>
      <c r="H111" s="1412"/>
      <c r="I111" s="1413">
        <f>I109-I110</f>
        <v>0</v>
      </c>
      <c r="J111" s="1412"/>
      <c r="K111" s="1413">
        <f>K109-K110</f>
        <v>0</v>
      </c>
      <c r="L111" s="1414"/>
      <c r="M111" s="1411">
        <f>M109-M110</f>
        <v>0</v>
      </c>
      <c r="N111" s="1415"/>
      <c r="O111" s="1415"/>
      <c r="P111" s="1415"/>
      <c r="Q111" s="1414"/>
    </row>
    <row r="112" spans="2:18" ht="13.5" customHeight="1" thickBot="1">
      <c r="B112" s="1400" t="s">
        <v>902</v>
      </c>
      <c r="C112" s="1401"/>
      <c r="D112" s="1401"/>
      <c r="E112" s="1401"/>
      <c r="F112" s="1402"/>
      <c r="G112" s="596"/>
      <c r="H112" s="597"/>
      <c r="I112" s="1404">
        <f>I125+I135+I145+I155</f>
        <v>0</v>
      </c>
      <c r="J112" s="1406"/>
      <c r="K112" s="597"/>
      <c r="L112" s="598"/>
      <c r="M112" s="1403">
        <f>M111</f>
        <v>0</v>
      </c>
      <c r="N112" s="1404"/>
      <c r="O112" s="1404"/>
      <c r="P112" s="1404"/>
      <c r="Q112" s="1405"/>
    </row>
    <row r="113" spans="2:27" ht="17.25" customHeight="1">
      <c r="I113" s="599">
        <f>I126+I136+I146+I156</f>
        <v>0</v>
      </c>
      <c r="J113" s="600"/>
      <c r="K113" s="600"/>
      <c r="L113" s="600"/>
      <c r="M113" s="600"/>
      <c r="N113" s="600"/>
      <c r="O113" s="600"/>
      <c r="P113" s="600"/>
      <c r="Q113" s="599">
        <f>M109</f>
        <v>0</v>
      </c>
    </row>
    <row r="114" spans="2:27" s="601" customFormat="1" ht="17.25" customHeight="1">
      <c r="I114" s="456">
        <f>I127+I137+I147+I157</f>
        <v>0</v>
      </c>
      <c r="J114" s="602"/>
      <c r="K114" s="602"/>
      <c r="L114" s="602"/>
      <c r="M114" s="602"/>
      <c r="N114" s="602"/>
      <c r="O114" s="602"/>
      <c r="P114" s="602"/>
      <c r="Q114" s="456">
        <f>M110</f>
        <v>0</v>
      </c>
    </row>
    <row r="115" spans="2:27" s="601" customFormat="1" ht="17.25" customHeight="1" thickBot="1">
      <c r="I115" s="603"/>
      <c r="J115" s="602"/>
      <c r="K115" s="602"/>
      <c r="L115" s="602"/>
      <c r="M115" s="602"/>
      <c r="N115" s="602"/>
      <c r="O115" s="602"/>
      <c r="P115" s="602"/>
      <c r="Q115" s="603"/>
      <c r="S115" s="1246" t="s">
        <v>965</v>
      </c>
      <c r="T115" s="1247"/>
      <c r="U115" s="1247"/>
      <c r="V115" s="1248"/>
      <c r="W115" s="659" t="s">
        <v>962</v>
      </c>
      <c r="X115" s="659" t="s">
        <v>963</v>
      </c>
      <c r="Y115" s="659" t="s">
        <v>1016</v>
      </c>
      <c r="Z115" s="845" t="s">
        <v>1017</v>
      </c>
      <c r="AA115" s="846" t="s">
        <v>1023</v>
      </c>
    </row>
    <row r="116" spans="2:27" s="601" customFormat="1" ht="20.25" customHeight="1">
      <c r="B116" s="1462" t="s">
        <v>903</v>
      </c>
      <c r="C116" s="1463"/>
      <c r="D116" s="1463"/>
      <c r="E116" s="1464"/>
      <c r="F116" s="604" t="e">
        <f>AA116</f>
        <v>#N/A</v>
      </c>
      <c r="G116" s="605" t="s">
        <v>675</v>
      </c>
      <c r="H116" s="606"/>
      <c r="I116" s="602"/>
      <c r="S116" s="656" t="s">
        <v>903</v>
      </c>
      <c r="T116" s="630"/>
      <c r="U116" s="630"/>
      <c r="V116" s="632" t="s">
        <v>675</v>
      </c>
      <c r="W116" s="631" t="e">
        <f>INT(INDEX(入力!$D$142:$F$143,1,$X$7))</f>
        <v>#N/A</v>
      </c>
      <c r="X116" s="631" t="e">
        <f>INT(INDEX(入力!$D$152:$F$153,1,$X$7))</f>
        <v>#N/A</v>
      </c>
      <c r="Y116" s="631" t="e">
        <f>INT(INDEX(入力!$D$162:$F$163,1,$X$7))</f>
        <v>#N/A</v>
      </c>
      <c r="Z116" s="631" t="e">
        <f>INT(INDEX(入力!$D$172:$F$173,1,$X$7))</f>
        <v>#N/A</v>
      </c>
      <c r="AA116" s="847" t="e">
        <f>SUBTOTAL(9,W116:Z116)</f>
        <v>#N/A</v>
      </c>
    </row>
    <row r="117" spans="2:27" s="601" customFormat="1" ht="20.25" customHeight="1" thickBot="1">
      <c r="B117" s="1427" t="s">
        <v>904</v>
      </c>
      <c r="C117" s="1428"/>
      <c r="D117" s="1428"/>
      <c r="E117" s="1429"/>
      <c r="F117" s="607" t="e">
        <f>AA117</f>
        <v>#N/A</v>
      </c>
      <c r="G117" s="608" t="s">
        <v>675</v>
      </c>
      <c r="H117" s="606"/>
      <c r="I117" s="602"/>
      <c r="S117" s="656" t="s">
        <v>904</v>
      </c>
      <c r="T117" s="654"/>
      <c r="U117" s="654"/>
      <c r="V117" s="618" t="s">
        <v>675</v>
      </c>
      <c r="W117" s="655" t="e">
        <f>INT(INDEX(入力!$D$142:$F$143,2,$X$7))</f>
        <v>#N/A</v>
      </c>
      <c r="X117" s="655" t="e">
        <f>INT(INDEX(入力!$D$152:$F$153,2,$X$7))</f>
        <v>#N/A</v>
      </c>
      <c r="Y117" s="655" t="e">
        <f>INT(INDEX(入力!$D$162:$F$163,2,$X$7))</f>
        <v>#N/A</v>
      </c>
      <c r="Z117" s="655" t="e">
        <f>INT(INDEX(入力!$D$172:$F$173,2,$X$7))</f>
        <v>#N/A</v>
      </c>
      <c r="AA117" s="847" t="e">
        <f t="shared" ref="AA117:AA119" si="36">SUBTOTAL(9,W117:Z117)</f>
        <v>#N/A</v>
      </c>
    </row>
    <row r="118" spans="2:27" s="601" customFormat="1" ht="20.25" customHeight="1">
      <c r="B118" s="621"/>
      <c r="C118" s="621"/>
      <c r="D118" s="621"/>
      <c r="E118" s="621"/>
      <c r="F118" s="622"/>
      <c r="G118" s="602"/>
      <c r="H118" s="606"/>
      <c r="I118" s="602"/>
      <c r="S118" s="656" t="s">
        <v>969</v>
      </c>
      <c r="T118" s="657"/>
      <c r="U118" s="657"/>
      <c r="V118" s="632" t="s">
        <v>970</v>
      </c>
      <c r="W118" s="658" t="e">
        <f>ROUND(INDEX(入力!$D$140:$F$141,1,$X$7),1)</f>
        <v>#N/A</v>
      </c>
      <c r="X118" s="658" t="e">
        <f>ROUND(INDEX(入力!$D$150:$F$151,1,$X$7),1)</f>
        <v>#N/A</v>
      </c>
      <c r="Y118" s="519" t="e">
        <f>ROUND(INDEX(入力!$D$160:$F$161,1,$X$7),1)</f>
        <v>#N/A</v>
      </c>
      <c r="Z118" s="658" t="e">
        <f>ROUND(INDEX(入力!$D$170:$F$171,1,$X$7),1)</f>
        <v>#N/A</v>
      </c>
      <c r="AA118" s="847" t="e">
        <f t="shared" si="36"/>
        <v>#N/A</v>
      </c>
    </row>
    <row r="119" spans="2:27" s="601" customFormat="1" ht="26.25" hidden="1" thickBot="1">
      <c r="H119" s="636" t="s">
        <v>958</v>
      </c>
      <c r="S119" s="656" t="s">
        <v>968</v>
      </c>
      <c r="T119" s="657"/>
      <c r="U119" s="657"/>
      <c r="V119" s="632" t="s">
        <v>970</v>
      </c>
      <c r="W119" s="658" t="e">
        <f>ROUND(INDEX(入力!$D$140:$F$141,2,$X$7),1)</f>
        <v>#N/A</v>
      </c>
      <c r="X119" s="658" t="e">
        <f>ROUND(INDEX(入力!$D$150:$F$151,2,$X$7),1)</f>
        <v>#N/A</v>
      </c>
      <c r="Y119" s="519" t="e">
        <f>ROUND(INDEX(入力!$D$160:$F$161,2,$X$7),1)</f>
        <v>#N/A</v>
      </c>
      <c r="Z119" s="658" t="e">
        <f>ROUND(INDEX(入力!$D$170:$F$171,2,$X$7),1)</f>
        <v>#N/A</v>
      </c>
      <c r="AA119" s="847" t="e">
        <f t="shared" si="36"/>
        <v>#N/A</v>
      </c>
    </row>
    <row r="120" spans="2:27" s="601" customFormat="1" hidden="1">
      <c r="B120" s="1184" t="s">
        <v>789</v>
      </c>
      <c r="C120" s="1185"/>
      <c r="D120" s="1185"/>
      <c r="E120" s="1185"/>
      <c r="F120" s="1186"/>
      <c r="G120" s="1190" t="s">
        <v>894</v>
      </c>
      <c r="H120" s="1180"/>
      <c r="I120" s="1180"/>
      <c r="J120" s="1180"/>
      <c r="K120" s="1180"/>
      <c r="L120" s="1182"/>
      <c r="M120" s="1184" t="s">
        <v>895</v>
      </c>
      <c r="N120" s="1191"/>
      <c r="O120" s="1191"/>
      <c r="P120" s="1191"/>
      <c r="Q120" s="1192"/>
    </row>
    <row r="121" spans="2:27" s="601" customFormat="1" ht="15" hidden="1" thickBot="1">
      <c r="B121" s="1187"/>
      <c r="C121" s="1188"/>
      <c r="D121" s="1188"/>
      <c r="E121" s="1188"/>
      <c r="F121" s="1189"/>
      <c r="G121" s="1195" t="s">
        <v>896</v>
      </c>
      <c r="H121" s="1196"/>
      <c r="I121" s="1189" t="s">
        <v>897</v>
      </c>
      <c r="J121" s="1196"/>
      <c r="K121" s="1189" t="s">
        <v>898</v>
      </c>
      <c r="L121" s="1197"/>
      <c r="M121" s="1187"/>
      <c r="N121" s="1193"/>
      <c r="O121" s="1193"/>
      <c r="P121" s="1193"/>
      <c r="Q121" s="1194"/>
    </row>
    <row r="122" spans="2:27" s="601" customFormat="1" hidden="1">
      <c r="B122" s="1198" t="s">
        <v>952</v>
      </c>
      <c r="C122" s="1199"/>
      <c r="D122" s="1199"/>
      <c r="E122" s="1199"/>
      <c r="F122" s="1200"/>
      <c r="G122" s="1324">
        <f>H30</f>
        <v>0</v>
      </c>
      <c r="H122" s="1204"/>
      <c r="I122" s="1325">
        <f>J30</f>
        <v>0</v>
      </c>
      <c r="J122" s="1326"/>
      <c r="K122" s="1205">
        <f>L30</f>
        <v>0</v>
      </c>
      <c r="L122" s="1206"/>
      <c r="M122" s="1201">
        <f>Q30</f>
        <v>0</v>
      </c>
      <c r="N122" s="1207"/>
      <c r="O122" s="1207"/>
      <c r="P122" s="1207"/>
      <c r="Q122" s="1208"/>
    </row>
    <row r="123" spans="2:27" s="601" customFormat="1" ht="15" hidden="1" thickBot="1">
      <c r="B123" s="1165" t="s">
        <v>953</v>
      </c>
      <c r="C123" s="1166"/>
      <c r="D123" s="1166"/>
      <c r="E123" s="1166"/>
      <c r="F123" s="1167"/>
      <c r="G123" s="1321">
        <f>H70</f>
        <v>0</v>
      </c>
      <c r="H123" s="1171"/>
      <c r="I123" s="1322">
        <f>J70</f>
        <v>0</v>
      </c>
      <c r="J123" s="1323"/>
      <c r="K123" s="1172">
        <f>L70</f>
        <v>0</v>
      </c>
      <c r="L123" s="1173"/>
      <c r="M123" s="1168">
        <f>Q70</f>
        <v>0</v>
      </c>
      <c r="N123" s="1174"/>
      <c r="O123" s="1174"/>
      <c r="P123" s="1174"/>
      <c r="Q123" s="1175"/>
    </row>
    <row r="124" spans="2:27" ht="15" hidden="1" thickBot="1">
      <c r="B124" s="1176" t="s">
        <v>901</v>
      </c>
      <c r="C124" s="1177"/>
      <c r="D124" s="1177"/>
      <c r="E124" s="1177"/>
      <c r="F124" s="1178"/>
      <c r="G124" s="1179">
        <f>G122-G123</f>
        <v>0</v>
      </c>
      <c r="H124" s="1180"/>
      <c r="I124" s="1181">
        <f>I122-I123</f>
        <v>0</v>
      </c>
      <c r="J124" s="1180"/>
      <c r="K124" s="1181">
        <f>K122-K123</f>
        <v>0</v>
      </c>
      <c r="L124" s="1182"/>
      <c r="M124" s="1179">
        <f>M122-M123</f>
        <v>0</v>
      </c>
      <c r="N124" s="1183"/>
      <c r="O124" s="1183"/>
      <c r="P124" s="1183"/>
      <c r="Q124" s="1182"/>
    </row>
    <row r="125" spans="2:27" ht="15" hidden="1" thickBot="1">
      <c r="B125" s="1151" t="s">
        <v>902</v>
      </c>
      <c r="C125" s="1152"/>
      <c r="D125" s="1152"/>
      <c r="E125" s="1152"/>
      <c r="F125" s="1153"/>
      <c r="G125" s="633"/>
      <c r="H125" s="634"/>
      <c r="I125" s="1154">
        <f>MAX(G124:L124)</f>
        <v>0</v>
      </c>
      <c r="J125" s="1155"/>
      <c r="K125" s="634"/>
      <c r="L125" s="635"/>
      <c r="M125" s="1156">
        <f>M124</f>
        <v>0</v>
      </c>
      <c r="N125" s="1154"/>
      <c r="O125" s="1154"/>
      <c r="P125" s="1154"/>
      <c r="Q125" s="1157"/>
    </row>
    <row r="126" spans="2:27" hidden="1">
      <c r="B126" s="602"/>
      <c r="C126" s="602"/>
      <c r="D126" s="602"/>
      <c r="E126" s="602"/>
      <c r="F126" s="602"/>
      <c r="G126" s="600"/>
      <c r="H126" s="600"/>
      <c r="I126" s="617">
        <f>MAX(G122:L122)</f>
        <v>0</v>
      </c>
      <c r="J126" s="600"/>
      <c r="K126" s="600"/>
      <c r="L126" s="600"/>
      <c r="M126" s="600"/>
      <c r="N126" s="600"/>
      <c r="O126" s="600"/>
      <c r="P126" s="600"/>
      <c r="Q126" s="617">
        <f>M122</f>
        <v>0</v>
      </c>
    </row>
    <row r="127" spans="2:27" hidden="1">
      <c r="B127" s="602"/>
      <c r="C127" s="602"/>
      <c r="D127" s="602"/>
      <c r="E127" s="602"/>
      <c r="F127" s="602"/>
      <c r="G127" s="600"/>
      <c r="H127" s="600"/>
      <c r="I127" s="456">
        <f>MAX(G123:L123)</f>
        <v>0</v>
      </c>
      <c r="J127" s="602"/>
      <c r="K127" s="602"/>
      <c r="L127" s="602"/>
      <c r="M127" s="602"/>
      <c r="N127" s="602"/>
      <c r="O127" s="602"/>
      <c r="P127" s="602"/>
      <c r="Q127" s="456">
        <f>M123</f>
        <v>0</v>
      </c>
    </row>
    <row r="128" spans="2:27" hidden="1"/>
    <row r="129" spans="2:17" ht="26.25" hidden="1" thickBot="1">
      <c r="C129" s="601"/>
      <c r="D129" s="601"/>
      <c r="E129" s="601"/>
      <c r="F129" s="601"/>
      <c r="G129" s="601"/>
      <c r="H129" s="640" t="s">
        <v>959</v>
      </c>
      <c r="I129" s="601"/>
      <c r="J129" s="601"/>
      <c r="K129" s="601"/>
      <c r="L129" s="601"/>
      <c r="M129" s="601"/>
      <c r="N129" s="601"/>
      <c r="O129" s="601"/>
      <c r="P129" s="601"/>
      <c r="Q129" s="601"/>
    </row>
    <row r="130" spans="2:17" hidden="1">
      <c r="B130" s="1307" t="s">
        <v>789</v>
      </c>
      <c r="C130" s="1308"/>
      <c r="D130" s="1308"/>
      <c r="E130" s="1308"/>
      <c r="F130" s="1309"/>
      <c r="G130" s="1313" t="s">
        <v>894</v>
      </c>
      <c r="H130" s="1288"/>
      <c r="I130" s="1288"/>
      <c r="J130" s="1288"/>
      <c r="K130" s="1288"/>
      <c r="L130" s="1290"/>
      <c r="M130" s="1307" t="s">
        <v>895</v>
      </c>
      <c r="N130" s="1314"/>
      <c r="O130" s="1314"/>
      <c r="P130" s="1314"/>
      <c r="Q130" s="1315"/>
    </row>
    <row r="131" spans="2:17" ht="15" hidden="1" thickBot="1">
      <c r="B131" s="1310"/>
      <c r="C131" s="1311"/>
      <c r="D131" s="1311"/>
      <c r="E131" s="1311"/>
      <c r="F131" s="1312"/>
      <c r="G131" s="1318" t="s">
        <v>896</v>
      </c>
      <c r="H131" s="1319"/>
      <c r="I131" s="1312" t="s">
        <v>897</v>
      </c>
      <c r="J131" s="1319"/>
      <c r="K131" s="1312" t="s">
        <v>898</v>
      </c>
      <c r="L131" s="1320"/>
      <c r="M131" s="1310"/>
      <c r="N131" s="1316"/>
      <c r="O131" s="1316"/>
      <c r="P131" s="1316"/>
      <c r="Q131" s="1317"/>
    </row>
    <row r="132" spans="2:17" hidden="1">
      <c r="B132" s="1239" t="s">
        <v>954</v>
      </c>
      <c r="C132" s="1240"/>
      <c r="D132" s="1240"/>
      <c r="E132" s="1240"/>
      <c r="F132" s="1241"/>
      <c r="G132" s="1242">
        <f>H39</f>
        <v>0</v>
      </c>
      <c r="H132" s="1243"/>
      <c r="I132" s="1244">
        <f>J39</f>
        <v>0</v>
      </c>
      <c r="J132" s="1245"/>
      <c r="K132" s="1292">
        <f>L39</f>
        <v>0</v>
      </c>
      <c r="L132" s="1293"/>
      <c r="M132" s="1242">
        <f>Q39</f>
        <v>0</v>
      </c>
      <c r="N132" s="1294"/>
      <c r="O132" s="1294"/>
      <c r="P132" s="1294"/>
      <c r="Q132" s="1295"/>
    </row>
    <row r="133" spans="2:17" ht="15" hidden="1" thickBot="1">
      <c r="B133" s="1296" t="s">
        <v>955</v>
      </c>
      <c r="C133" s="1297"/>
      <c r="D133" s="1297"/>
      <c r="E133" s="1297"/>
      <c r="F133" s="1298"/>
      <c r="G133" s="1299">
        <f>H79</f>
        <v>0</v>
      </c>
      <c r="H133" s="1300"/>
      <c r="I133" s="1301">
        <f>J79</f>
        <v>0</v>
      </c>
      <c r="J133" s="1302"/>
      <c r="K133" s="1303">
        <f>L79</f>
        <v>0</v>
      </c>
      <c r="L133" s="1304"/>
      <c r="M133" s="1299">
        <f>Q79</f>
        <v>0</v>
      </c>
      <c r="N133" s="1305"/>
      <c r="O133" s="1305"/>
      <c r="P133" s="1305"/>
      <c r="Q133" s="1306"/>
    </row>
    <row r="134" spans="2:17" ht="15" hidden="1" thickBot="1">
      <c r="B134" s="1284" t="s">
        <v>901</v>
      </c>
      <c r="C134" s="1285"/>
      <c r="D134" s="1285"/>
      <c r="E134" s="1285"/>
      <c r="F134" s="1286"/>
      <c r="G134" s="1287">
        <f>G132-G133</f>
        <v>0</v>
      </c>
      <c r="H134" s="1288"/>
      <c r="I134" s="1289">
        <f>I132-I133</f>
        <v>0</v>
      </c>
      <c r="J134" s="1288"/>
      <c r="K134" s="1289">
        <f>K132-K133</f>
        <v>0</v>
      </c>
      <c r="L134" s="1290"/>
      <c r="M134" s="1287">
        <f>M132-M133</f>
        <v>0</v>
      </c>
      <c r="N134" s="1291"/>
      <c r="O134" s="1291"/>
      <c r="P134" s="1291"/>
      <c r="Q134" s="1290"/>
    </row>
    <row r="135" spans="2:17" ht="15" hidden="1" thickBot="1">
      <c r="B135" s="1216" t="s">
        <v>902</v>
      </c>
      <c r="C135" s="1217"/>
      <c r="D135" s="1217"/>
      <c r="E135" s="1217"/>
      <c r="F135" s="1218"/>
      <c r="G135" s="637"/>
      <c r="H135" s="638"/>
      <c r="I135" s="1219">
        <f>MAX(G134:L134)</f>
        <v>0</v>
      </c>
      <c r="J135" s="1220"/>
      <c r="K135" s="638"/>
      <c r="L135" s="639"/>
      <c r="M135" s="1221">
        <f>M134</f>
        <v>0</v>
      </c>
      <c r="N135" s="1219"/>
      <c r="O135" s="1219"/>
      <c r="P135" s="1219"/>
      <c r="Q135" s="1222"/>
    </row>
    <row r="136" spans="2:17" hidden="1">
      <c r="B136" s="602"/>
      <c r="C136" s="602"/>
      <c r="D136" s="602"/>
      <c r="E136" s="602"/>
      <c r="F136" s="602"/>
      <c r="G136" s="600"/>
      <c r="H136" s="600"/>
      <c r="I136" s="617">
        <f>MAX(G132:L132)</f>
        <v>0</v>
      </c>
      <c r="J136" s="600"/>
      <c r="K136" s="600"/>
      <c r="L136" s="600"/>
      <c r="M136" s="600"/>
      <c r="N136" s="600"/>
      <c r="O136" s="600"/>
      <c r="P136" s="600"/>
      <c r="Q136" s="617">
        <f>M132</f>
        <v>0</v>
      </c>
    </row>
    <row r="137" spans="2:17" hidden="1">
      <c r="B137" s="602"/>
      <c r="C137" s="602"/>
      <c r="D137" s="602"/>
      <c r="E137" s="602"/>
      <c r="F137" s="602"/>
      <c r="G137" s="600"/>
      <c r="H137" s="600"/>
      <c r="I137" s="456">
        <f>MAX(G133:L133)</f>
        <v>0</v>
      </c>
      <c r="J137" s="602"/>
      <c r="K137" s="602"/>
      <c r="L137" s="602"/>
      <c r="M137" s="602"/>
      <c r="N137" s="602"/>
      <c r="O137" s="602"/>
      <c r="P137" s="602"/>
      <c r="Q137" s="456">
        <f>M133</f>
        <v>0</v>
      </c>
    </row>
    <row r="138" spans="2:17" hidden="1"/>
    <row r="139" spans="2:17" ht="26.25" hidden="1" thickBot="1">
      <c r="C139" s="601"/>
      <c r="D139" s="601"/>
      <c r="E139" s="601"/>
      <c r="F139" s="601"/>
      <c r="G139" s="601"/>
      <c r="H139" s="641" t="s">
        <v>1020</v>
      </c>
      <c r="I139" s="601"/>
      <c r="J139" s="601"/>
      <c r="K139" s="601"/>
      <c r="L139" s="601"/>
      <c r="M139" s="601"/>
      <c r="N139" s="601"/>
      <c r="O139" s="601"/>
      <c r="P139" s="601"/>
      <c r="Q139" s="601"/>
    </row>
    <row r="140" spans="2:17" hidden="1">
      <c r="B140" s="1223" t="s">
        <v>789</v>
      </c>
      <c r="C140" s="1224"/>
      <c r="D140" s="1224"/>
      <c r="E140" s="1224"/>
      <c r="F140" s="1225"/>
      <c r="G140" s="1229" t="s">
        <v>894</v>
      </c>
      <c r="H140" s="1230"/>
      <c r="I140" s="1230"/>
      <c r="J140" s="1230"/>
      <c r="K140" s="1230"/>
      <c r="L140" s="1231"/>
      <c r="M140" s="1223" t="s">
        <v>895</v>
      </c>
      <c r="N140" s="1232"/>
      <c r="O140" s="1232"/>
      <c r="P140" s="1232"/>
      <c r="Q140" s="1233"/>
    </row>
    <row r="141" spans="2:17" ht="15" hidden="1" thickBot="1">
      <c r="B141" s="1226"/>
      <c r="C141" s="1227"/>
      <c r="D141" s="1227"/>
      <c r="E141" s="1227"/>
      <c r="F141" s="1228"/>
      <c r="G141" s="1236" t="s">
        <v>896</v>
      </c>
      <c r="H141" s="1237"/>
      <c r="I141" s="1228" t="s">
        <v>897</v>
      </c>
      <c r="J141" s="1237"/>
      <c r="K141" s="1228" t="s">
        <v>898</v>
      </c>
      <c r="L141" s="1238"/>
      <c r="M141" s="1226"/>
      <c r="N141" s="1234"/>
      <c r="O141" s="1234"/>
      <c r="P141" s="1234"/>
      <c r="Q141" s="1235"/>
    </row>
    <row r="142" spans="2:17" hidden="1">
      <c r="B142" s="1262" t="s">
        <v>956</v>
      </c>
      <c r="C142" s="1263"/>
      <c r="D142" s="1263"/>
      <c r="E142" s="1263"/>
      <c r="F142" s="1264"/>
      <c r="G142" s="1265">
        <f>H48</f>
        <v>0</v>
      </c>
      <c r="H142" s="1266"/>
      <c r="I142" s="1267">
        <f>J48</f>
        <v>0</v>
      </c>
      <c r="J142" s="1268"/>
      <c r="K142" s="1269">
        <f>L48</f>
        <v>0</v>
      </c>
      <c r="L142" s="1270"/>
      <c r="M142" s="1265">
        <f>Q48</f>
        <v>0</v>
      </c>
      <c r="N142" s="1271"/>
      <c r="O142" s="1271"/>
      <c r="P142" s="1271"/>
      <c r="Q142" s="1272"/>
    </row>
    <row r="143" spans="2:17" ht="15" hidden="1" thickBot="1">
      <c r="B143" s="1273" t="s">
        <v>957</v>
      </c>
      <c r="C143" s="1274"/>
      <c r="D143" s="1274"/>
      <c r="E143" s="1274"/>
      <c r="F143" s="1275"/>
      <c r="G143" s="1276">
        <f>H88</f>
        <v>0</v>
      </c>
      <c r="H143" s="1277"/>
      <c r="I143" s="1278">
        <f>J88</f>
        <v>0</v>
      </c>
      <c r="J143" s="1279"/>
      <c r="K143" s="1280">
        <f>L88</f>
        <v>0</v>
      </c>
      <c r="L143" s="1281"/>
      <c r="M143" s="1276">
        <f>Q88</f>
        <v>0</v>
      </c>
      <c r="N143" s="1282"/>
      <c r="O143" s="1282"/>
      <c r="P143" s="1282"/>
      <c r="Q143" s="1283"/>
    </row>
    <row r="144" spans="2:17" ht="15" hidden="1" thickBot="1">
      <c r="B144" s="1249" t="s">
        <v>901</v>
      </c>
      <c r="C144" s="1250"/>
      <c r="D144" s="1250"/>
      <c r="E144" s="1250"/>
      <c r="F144" s="1251"/>
      <c r="G144" s="1252">
        <f>G142-G143</f>
        <v>0</v>
      </c>
      <c r="H144" s="1230"/>
      <c r="I144" s="1253">
        <f>I142-I143</f>
        <v>0</v>
      </c>
      <c r="J144" s="1230"/>
      <c r="K144" s="1253">
        <f>K142-K143</f>
        <v>0</v>
      </c>
      <c r="L144" s="1231"/>
      <c r="M144" s="1252">
        <f>M142-M143</f>
        <v>0</v>
      </c>
      <c r="N144" s="1254"/>
      <c r="O144" s="1254"/>
      <c r="P144" s="1254"/>
      <c r="Q144" s="1231"/>
    </row>
    <row r="145" spans="2:17" ht="15" hidden="1" thickBot="1">
      <c r="B145" s="1255" t="s">
        <v>902</v>
      </c>
      <c r="C145" s="1256"/>
      <c r="D145" s="1256"/>
      <c r="E145" s="1256"/>
      <c r="F145" s="1257"/>
      <c r="G145" s="642"/>
      <c r="H145" s="643"/>
      <c r="I145" s="1258">
        <f>MAX(G144:L144)</f>
        <v>0</v>
      </c>
      <c r="J145" s="1259"/>
      <c r="K145" s="643"/>
      <c r="L145" s="644"/>
      <c r="M145" s="1260">
        <f>M144</f>
        <v>0</v>
      </c>
      <c r="N145" s="1258"/>
      <c r="O145" s="1258"/>
      <c r="P145" s="1258"/>
      <c r="Q145" s="1261"/>
    </row>
    <row r="146" spans="2:17" hidden="1">
      <c r="I146" s="617">
        <f>MAX(G142:L142)</f>
        <v>0</v>
      </c>
      <c r="J146" s="600"/>
      <c r="K146" s="600"/>
      <c r="L146" s="600"/>
      <c r="M146" s="600"/>
      <c r="N146" s="600"/>
      <c r="O146" s="600"/>
      <c r="P146" s="600"/>
      <c r="Q146" s="617">
        <f>M142</f>
        <v>0</v>
      </c>
    </row>
    <row r="147" spans="2:17" hidden="1">
      <c r="I147" s="456">
        <f>MAX(G143:L143)</f>
        <v>0</v>
      </c>
      <c r="J147" s="602"/>
      <c r="K147" s="602"/>
      <c r="L147" s="602"/>
      <c r="M147" s="602"/>
      <c r="N147" s="602"/>
      <c r="O147" s="602"/>
      <c r="P147" s="602"/>
      <c r="Q147" s="456">
        <f>M143</f>
        <v>0</v>
      </c>
    </row>
    <row r="148" spans="2:17" hidden="1"/>
    <row r="149" spans="2:17" ht="26.25" hidden="1" thickBot="1">
      <c r="C149" s="601"/>
      <c r="D149" s="601"/>
      <c r="E149" s="601"/>
      <c r="F149" s="601"/>
      <c r="G149" s="601"/>
      <c r="H149" s="636" t="s">
        <v>1019</v>
      </c>
      <c r="I149" s="601"/>
      <c r="J149" s="601"/>
      <c r="K149" s="601"/>
      <c r="L149" s="601"/>
      <c r="M149" s="601"/>
      <c r="N149" s="601"/>
      <c r="O149" s="601"/>
      <c r="P149" s="601"/>
      <c r="Q149" s="601"/>
    </row>
    <row r="150" spans="2:17" hidden="1">
      <c r="B150" s="1184" t="s">
        <v>789</v>
      </c>
      <c r="C150" s="1185"/>
      <c r="D150" s="1185"/>
      <c r="E150" s="1185"/>
      <c r="F150" s="1186"/>
      <c r="G150" s="1190" t="s">
        <v>894</v>
      </c>
      <c r="H150" s="1180"/>
      <c r="I150" s="1180"/>
      <c r="J150" s="1180"/>
      <c r="K150" s="1180"/>
      <c r="L150" s="1182"/>
      <c r="M150" s="1184" t="s">
        <v>895</v>
      </c>
      <c r="N150" s="1191"/>
      <c r="O150" s="1191"/>
      <c r="P150" s="1191"/>
      <c r="Q150" s="1192"/>
    </row>
    <row r="151" spans="2:17" ht="15" hidden="1" thickBot="1">
      <c r="B151" s="1187"/>
      <c r="C151" s="1188"/>
      <c r="D151" s="1188"/>
      <c r="E151" s="1188"/>
      <c r="F151" s="1189"/>
      <c r="G151" s="1195" t="s">
        <v>896</v>
      </c>
      <c r="H151" s="1196"/>
      <c r="I151" s="1189" t="s">
        <v>897</v>
      </c>
      <c r="J151" s="1196"/>
      <c r="K151" s="1189" t="s">
        <v>898</v>
      </c>
      <c r="L151" s="1197"/>
      <c r="M151" s="1187"/>
      <c r="N151" s="1193"/>
      <c r="O151" s="1193"/>
      <c r="P151" s="1193"/>
      <c r="Q151" s="1194"/>
    </row>
    <row r="152" spans="2:17" hidden="1">
      <c r="B152" s="1198" t="s">
        <v>956</v>
      </c>
      <c r="C152" s="1199"/>
      <c r="D152" s="1199"/>
      <c r="E152" s="1199"/>
      <c r="F152" s="1200"/>
      <c r="G152" s="1201">
        <f>H62</f>
        <v>0</v>
      </c>
      <c r="H152" s="1202"/>
      <c r="I152" s="1203">
        <f>J62</f>
        <v>0</v>
      </c>
      <c r="J152" s="1204"/>
      <c r="K152" s="1205">
        <f>L62</f>
        <v>0</v>
      </c>
      <c r="L152" s="1206"/>
      <c r="M152" s="1201">
        <f>Q72</f>
        <v>0</v>
      </c>
      <c r="N152" s="1207"/>
      <c r="O152" s="1207"/>
      <c r="P152" s="1207"/>
      <c r="Q152" s="1208"/>
    </row>
    <row r="153" spans="2:17" ht="15" hidden="1" thickBot="1">
      <c r="B153" s="1165" t="s">
        <v>957</v>
      </c>
      <c r="C153" s="1166"/>
      <c r="D153" s="1166"/>
      <c r="E153" s="1166"/>
      <c r="F153" s="1167"/>
      <c r="G153" s="1168">
        <f>H102</f>
        <v>0</v>
      </c>
      <c r="H153" s="1169"/>
      <c r="I153" s="1170">
        <f>J102</f>
        <v>0</v>
      </c>
      <c r="J153" s="1171"/>
      <c r="K153" s="1172">
        <f>L102</f>
        <v>0</v>
      </c>
      <c r="L153" s="1173"/>
      <c r="M153" s="1168">
        <f>Q112</f>
        <v>0</v>
      </c>
      <c r="N153" s="1174"/>
      <c r="O153" s="1174"/>
      <c r="P153" s="1174"/>
      <c r="Q153" s="1175"/>
    </row>
    <row r="154" spans="2:17" ht="15" hidden="1" thickBot="1">
      <c r="B154" s="1176" t="s">
        <v>901</v>
      </c>
      <c r="C154" s="1177"/>
      <c r="D154" s="1177"/>
      <c r="E154" s="1177"/>
      <c r="F154" s="1178"/>
      <c r="G154" s="1179">
        <f>G152-G153</f>
        <v>0</v>
      </c>
      <c r="H154" s="1180"/>
      <c r="I154" s="1181">
        <f>I152-I153</f>
        <v>0</v>
      </c>
      <c r="J154" s="1180"/>
      <c r="K154" s="1181">
        <f>K152-K153</f>
        <v>0</v>
      </c>
      <c r="L154" s="1182"/>
      <c r="M154" s="1179">
        <f>M152-M153</f>
        <v>0</v>
      </c>
      <c r="N154" s="1183"/>
      <c r="O154" s="1183"/>
      <c r="P154" s="1183"/>
      <c r="Q154" s="1182"/>
    </row>
    <row r="155" spans="2:17" ht="15" hidden="1" thickBot="1">
      <c r="B155" s="1151" t="s">
        <v>902</v>
      </c>
      <c r="C155" s="1152"/>
      <c r="D155" s="1152"/>
      <c r="E155" s="1152"/>
      <c r="F155" s="1153"/>
      <c r="G155" s="633"/>
      <c r="H155" s="810"/>
      <c r="I155" s="1154">
        <f>MAX(G154:L154)</f>
        <v>0</v>
      </c>
      <c r="J155" s="1155"/>
      <c r="K155" s="810"/>
      <c r="L155" s="811"/>
      <c r="M155" s="1156">
        <f>M154</f>
        <v>0</v>
      </c>
      <c r="N155" s="1154"/>
      <c r="O155" s="1154"/>
      <c r="P155" s="1154"/>
      <c r="Q155" s="1157"/>
    </row>
    <row r="156" spans="2:17" hidden="1">
      <c r="I156" s="815">
        <f>MAX(G152:L152)</f>
        <v>0</v>
      </c>
      <c r="J156" s="600"/>
      <c r="K156" s="600"/>
      <c r="L156" s="600"/>
      <c r="M156" s="600"/>
      <c r="N156" s="600"/>
      <c r="O156" s="600"/>
      <c r="P156" s="600"/>
      <c r="Q156" s="815">
        <f>M152</f>
        <v>0</v>
      </c>
    </row>
    <row r="157" spans="2:17" hidden="1">
      <c r="I157" s="456">
        <f>MAX(G153:L153)</f>
        <v>0</v>
      </c>
      <c r="J157" s="602"/>
      <c r="K157" s="602"/>
      <c r="L157" s="602"/>
      <c r="M157" s="602"/>
      <c r="N157" s="602"/>
      <c r="O157" s="602"/>
      <c r="P157" s="602"/>
      <c r="Q157" s="456">
        <f>M153</f>
        <v>0</v>
      </c>
    </row>
  </sheetData>
  <sheetProtection algorithmName="SHA-512" hashValue="44J0aKX+iy9j448c7nnd8vfZ8RoS+sXY00P2cvjlbFSSKuTk+S8pZJIGcFN0P1+7TZ4B6o4eIOVFXYftLVvedw==" saltValue="J/AgJ+4XfSTH9n6ihs04rA==" spinCount="100000" sheet="1" objects="1" scenarios="1" formatCells="0"/>
  <mergeCells count="240">
    <mergeCell ref="I27:J27"/>
    <mergeCell ref="K27:L27"/>
    <mergeCell ref="L13:Q13"/>
    <mergeCell ref="K4:Q4"/>
    <mergeCell ref="L12:Q12"/>
    <mergeCell ref="L11:Q11"/>
    <mergeCell ref="H16:K16"/>
    <mergeCell ref="B116:E116"/>
    <mergeCell ref="B20:C20"/>
    <mergeCell ref="B21:C21"/>
    <mergeCell ref="B22:C22"/>
    <mergeCell ref="D15:F15"/>
    <mergeCell ref="B23:C23"/>
    <mergeCell ref="D16:E16"/>
    <mergeCell ref="D17:E17"/>
    <mergeCell ref="D18:E18"/>
    <mergeCell ref="D19:E19"/>
    <mergeCell ref="D20:E20"/>
    <mergeCell ref="D21:E21"/>
    <mergeCell ref="D22:E22"/>
    <mergeCell ref="D23:E23"/>
    <mergeCell ref="B6:D6"/>
    <mergeCell ref="B5:D5"/>
    <mergeCell ref="K7:Q7"/>
    <mergeCell ref="B117:E117"/>
    <mergeCell ref="H23:K23"/>
    <mergeCell ref="H18:K18"/>
    <mergeCell ref="H19:K19"/>
    <mergeCell ref="H20:K20"/>
    <mergeCell ref="H21:K21"/>
    <mergeCell ref="H22:K22"/>
    <mergeCell ref="B8:D8"/>
    <mergeCell ref="B14:G14"/>
    <mergeCell ref="H15:K15"/>
    <mergeCell ref="H14:Q14"/>
    <mergeCell ref="C80:C87"/>
    <mergeCell ref="H17:K17"/>
    <mergeCell ref="G51:H51"/>
    <mergeCell ref="I51:J51"/>
    <mergeCell ref="K51:L51"/>
    <mergeCell ref="B25:Q25"/>
    <mergeCell ref="N27:N28"/>
    <mergeCell ref="B15:C15"/>
    <mergeCell ref="B16:C16"/>
    <mergeCell ref="B17:C17"/>
    <mergeCell ref="B18:C18"/>
    <mergeCell ref="B19:C19"/>
    <mergeCell ref="G27:H27"/>
    <mergeCell ref="B7:D7"/>
    <mergeCell ref="E7:F7"/>
    <mergeCell ref="L9:Q9"/>
    <mergeCell ref="L10:Q10"/>
    <mergeCell ref="E6:G6"/>
    <mergeCell ref="H6:I6"/>
    <mergeCell ref="J6:Q6"/>
    <mergeCell ref="E5:Q5"/>
    <mergeCell ref="B112:F112"/>
    <mergeCell ref="M112:Q112"/>
    <mergeCell ref="I112:J112"/>
    <mergeCell ref="K110:L110"/>
    <mergeCell ref="M110:Q110"/>
    <mergeCell ref="G111:H111"/>
    <mergeCell ref="I111:J111"/>
    <mergeCell ref="K111:L111"/>
    <mergeCell ref="M111:Q111"/>
    <mergeCell ref="B111:F111"/>
    <mergeCell ref="B110:F110"/>
    <mergeCell ref="G110:H110"/>
    <mergeCell ref="I110:J110"/>
    <mergeCell ref="B109:F109"/>
    <mergeCell ref="G107:L107"/>
    <mergeCell ref="G109:H109"/>
    <mergeCell ref="I109:J109"/>
    <mergeCell ref="K109:L109"/>
    <mergeCell ref="M109:Q109"/>
    <mergeCell ref="C94:C101"/>
    <mergeCell ref="B103:E103"/>
    <mergeCell ref="B106:Q106"/>
    <mergeCell ref="G108:H108"/>
    <mergeCell ref="I108:J108"/>
    <mergeCell ref="K108:L108"/>
    <mergeCell ref="M107:Q108"/>
    <mergeCell ref="B107:F108"/>
    <mergeCell ref="M27:M28"/>
    <mergeCell ref="B90:C93"/>
    <mergeCell ref="D90:F90"/>
    <mergeCell ref="G91:H91"/>
    <mergeCell ref="I91:J91"/>
    <mergeCell ref="K91:L91"/>
    <mergeCell ref="B66:C69"/>
    <mergeCell ref="D66:F66"/>
    <mergeCell ref="G66:L66"/>
    <mergeCell ref="M66:Q66"/>
    <mergeCell ref="D67:D69"/>
    <mergeCell ref="E67:E68"/>
    <mergeCell ref="F67:F68"/>
    <mergeCell ref="M67:M68"/>
    <mergeCell ref="Q67:Q68"/>
    <mergeCell ref="N67:N68"/>
    <mergeCell ref="G67:H67"/>
    <mergeCell ref="I67:J67"/>
    <mergeCell ref="K67:L67"/>
    <mergeCell ref="G90:L90"/>
    <mergeCell ref="D91:D93"/>
    <mergeCell ref="E91:E92"/>
    <mergeCell ref="F91:F92"/>
    <mergeCell ref="C71:C78"/>
    <mergeCell ref="O67:O68"/>
    <mergeCell ref="O27:O28"/>
    <mergeCell ref="B2:E2"/>
    <mergeCell ref="P27:P28"/>
    <mergeCell ref="P67:P68"/>
    <mergeCell ref="B65:Q65"/>
    <mergeCell ref="Q27:Q28"/>
    <mergeCell ref="C31:C38"/>
    <mergeCell ref="C40:C47"/>
    <mergeCell ref="B50:C53"/>
    <mergeCell ref="D50:F50"/>
    <mergeCell ref="G50:L50"/>
    <mergeCell ref="D51:D53"/>
    <mergeCell ref="E51:E52"/>
    <mergeCell ref="F51:F52"/>
    <mergeCell ref="C54:C61"/>
    <mergeCell ref="B63:E63"/>
    <mergeCell ref="B26:C29"/>
    <mergeCell ref="D26:F26"/>
    <mergeCell ref="G26:L26"/>
    <mergeCell ref="M26:Q26"/>
    <mergeCell ref="D27:D29"/>
    <mergeCell ref="E27:E28"/>
    <mergeCell ref="F27:F28"/>
    <mergeCell ref="B120:F121"/>
    <mergeCell ref="G120:L120"/>
    <mergeCell ref="M120:Q121"/>
    <mergeCell ref="G121:H121"/>
    <mergeCell ref="I121:J121"/>
    <mergeCell ref="K121:L121"/>
    <mergeCell ref="B122:F122"/>
    <mergeCell ref="G122:H122"/>
    <mergeCell ref="I122:J122"/>
    <mergeCell ref="K122:L122"/>
    <mergeCell ref="M122:Q122"/>
    <mergeCell ref="B123:F123"/>
    <mergeCell ref="G123:H123"/>
    <mergeCell ref="I123:J123"/>
    <mergeCell ref="K123:L123"/>
    <mergeCell ref="M123:Q123"/>
    <mergeCell ref="B124:F124"/>
    <mergeCell ref="G124:H124"/>
    <mergeCell ref="I124:J124"/>
    <mergeCell ref="K124:L124"/>
    <mergeCell ref="M124:Q124"/>
    <mergeCell ref="K132:L132"/>
    <mergeCell ref="M132:Q132"/>
    <mergeCell ref="B133:F133"/>
    <mergeCell ref="G133:H133"/>
    <mergeCell ref="I133:J133"/>
    <mergeCell ref="K133:L133"/>
    <mergeCell ref="M133:Q133"/>
    <mergeCell ref="B125:F125"/>
    <mergeCell ref="I125:J125"/>
    <mergeCell ref="M125:Q125"/>
    <mergeCell ref="B130:F131"/>
    <mergeCell ref="G130:L130"/>
    <mergeCell ref="M130:Q131"/>
    <mergeCell ref="G131:H131"/>
    <mergeCell ref="I131:J131"/>
    <mergeCell ref="K131:L131"/>
    <mergeCell ref="S115:V115"/>
    <mergeCell ref="B144:F144"/>
    <mergeCell ref="G144:H144"/>
    <mergeCell ref="I144:J144"/>
    <mergeCell ref="K144:L144"/>
    <mergeCell ref="M144:Q144"/>
    <mergeCell ref="B145:F145"/>
    <mergeCell ref="I145:J145"/>
    <mergeCell ref="M145:Q145"/>
    <mergeCell ref="B142:F142"/>
    <mergeCell ref="G142:H142"/>
    <mergeCell ref="I142:J142"/>
    <mergeCell ref="K142:L142"/>
    <mergeCell ref="M142:Q142"/>
    <mergeCell ref="B143:F143"/>
    <mergeCell ref="G143:H143"/>
    <mergeCell ref="I143:J143"/>
    <mergeCell ref="K143:L143"/>
    <mergeCell ref="M143:Q143"/>
    <mergeCell ref="B134:F134"/>
    <mergeCell ref="G134:H134"/>
    <mergeCell ref="I134:J134"/>
    <mergeCell ref="K134:L134"/>
    <mergeCell ref="M134:Q134"/>
    <mergeCell ref="G152:H152"/>
    <mergeCell ref="I152:J152"/>
    <mergeCell ref="K152:L152"/>
    <mergeCell ref="M152:Q152"/>
    <mergeCell ref="C39:F39"/>
    <mergeCell ref="C48:F48"/>
    <mergeCell ref="C79:F79"/>
    <mergeCell ref="C88:F88"/>
    <mergeCell ref="B70:B89"/>
    <mergeCell ref="C89:F89"/>
    <mergeCell ref="B30:B49"/>
    <mergeCell ref="C49:F49"/>
    <mergeCell ref="B135:F135"/>
    <mergeCell ref="I135:J135"/>
    <mergeCell ref="M135:Q135"/>
    <mergeCell ref="B140:F141"/>
    <mergeCell ref="G140:L140"/>
    <mergeCell ref="M140:Q141"/>
    <mergeCell ref="G141:H141"/>
    <mergeCell ref="I141:J141"/>
    <mergeCell ref="K141:L141"/>
    <mergeCell ref="B132:F132"/>
    <mergeCell ref="G132:H132"/>
    <mergeCell ref="I132:J132"/>
    <mergeCell ref="B155:F155"/>
    <mergeCell ref="I155:J155"/>
    <mergeCell ref="M155:Q155"/>
    <mergeCell ref="C102:F102"/>
    <mergeCell ref="B94:B102"/>
    <mergeCell ref="C62:F62"/>
    <mergeCell ref="B54:B62"/>
    <mergeCell ref="B153:F153"/>
    <mergeCell ref="G153:H153"/>
    <mergeCell ref="I153:J153"/>
    <mergeCell ref="K153:L153"/>
    <mergeCell ref="M153:Q153"/>
    <mergeCell ref="B154:F154"/>
    <mergeCell ref="G154:H154"/>
    <mergeCell ref="I154:J154"/>
    <mergeCell ref="K154:L154"/>
    <mergeCell ref="M154:Q154"/>
    <mergeCell ref="B150:F151"/>
    <mergeCell ref="G150:L150"/>
    <mergeCell ref="M150:Q151"/>
    <mergeCell ref="G151:H151"/>
    <mergeCell ref="I151:J151"/>
    <mergeCell ref="K151:L151"/>
    <mergeCell ref="B152:F152"/>
  </mergeCells>
  <phoneticPr fontId="1"/>
  <conditionalFormatting sqref="K4">
    <cfRule type="containsBlanks" dxfId="2" priority="3">
      <formula>LEN(TRIM(K4))=0</formula>
    </cfRule>
  </conditionalFormatting>
  <pageMargins left="0.35433070866141736" right="0" top="0.55118110236220474" bottom="0.43307086614173229" header="0.31496062992125984" footer="0.31496062992125984"/>
  <pageSetup paperSize="9" scale="90" orientation="portrait" r:id="rId1"/>
  <headerFooter>
    <oddHeader>&amp;L&amp;9暑さ対策計算シート&amp;R&amp;9埼玉県温暖化対策課</oddHeader>
  </headerFooter>
  <rowBreaks count="1" manualBreakCount="1">
    <brk id="64" max="16383" man="1"/>
  </rowBreaks>
  <cellWatches>
    <cellWatch r="M112"/>
  </cellWatch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topLeftCell="A7" workbookViewId="0">
      <selection activeCell="AO35" sqref="AO35"/>
    </sheetView>
  </sheetViews>
  <sheetFormatPr defaultRowHeight="13.5"/>
  <cols>
    <col min="1" max="2" width="5" style="691" customWidth="1"/>
    <col min="3" max="3" width="28" style="691" customWidth="1"/>
    <col min="4" max="4" width="5.75" style="691" bestFit="1" customWidth="1"/>
    <col min="5" max="7" width="15.125" style="691" customWidth="1"/>
    <col min="8" max="8" width="6.5" style="691" bestFit="1" customWidth="1"/>
    <col min="9" max="9" width="8" style="691" bestFit="1" customWidth="1"/>
    <col min="10" max="10" width="8" style="691" hidden="1" customWidth="1"/>
    <col min="11" max="11" width="5.875" style="691" hidden="1" customWidth="1"/>
    <col min="12" max="12" width="10.5" style="691" hidden="1" customWidth="1"/>
    <col min="13" max="15" width="15.125" style="691" customWidth="1"/>
    <col min="16" max="16384" width="9" style="691"/>
  </cols>
  <sheetData>
    <row r="2" spans="1:15" ht="18" thickBot="1">
      <c r="A2" s="684" t="s">
        <v>975</v>
      </c>
      <c r="B2" s="685"/>
      <c r="C2" s="685"/>
      <c r="D2" s="685"/>
      <c r="E2" s="686"/>
      <c r="F2" s="685"/>
      <c r="G2" s="685"/>
      <c r="H2" s="687"/>
      <c r="I2" s="685"/>
      <c r="J2" s="688"/>
      <c r="K2" s="685"/>
      <c r="L2" s="689"/>
      <c r="M2" s="690"/>
      <c r="N2" s="690"/>
      <c r="O2" s="690"/>
    </row>
    <row r="3" spans="1:15" ht="33" customHeight="1">
      <c r="A3" s="692"/>
      <c r="B3" s="1496" t="s">
        <v>976</v>
      </c>
      <c r="C3" s="1496"/>
      <c r="D3" s="1499" t="s">
        <v>977</v>
      </c>
      <c r="E3" s="1502" t="s">
        <v>978</v>
      </c>
      <c r="F3" s="1503"/>
      <c r="G3" s="1504"/>
      <c r="H3" s="1505" t="s">
        <v>979</v>
      </c>
      <c r="I3" s="1506"/>
      <c r="J3" s="1499" t="s">
        <v>980</v>
      </c>
      <c r="K3" s="1510" t="s">
        <v>981</v>
      </c>
      <c r="L3" s="1483" t="s">
        <v>982</v>
      </c>
      <c r="M3" s="1485" t="s">
        <v>983</v>
      </c>
      <c r="N3" s="1486"/>
      <c r="O3" s="1487"/>
    </row>
    <row r="4" spans="1:15" ht="24.75" customHeight="1">
      <c r="A4" s="693"/>
      <c r="B4" s="1497"/>
      <c r="C4" s="1497"/>
      <c r="D4" s="1500"/>
      <c r="E4" s="694" t="s">
        <v>984</v>
      </c>
      <c r="F4" s="694" t="s">
        <v>985</v>
      </c>
      <c r="G4" s="695" t="s">
        <v>986</v>
      </c>
      <c r="H4" s="1507"/>
      <c r="I4" s="1508"/>
      <c r="J4" s="1509"/>
      <c r="K4" s="1511"/>
      <c r="L4" s="1484"/>
      <c r="M4" s="696" t="s">
        <v>984</v>
      </c>
      <c r="N4" s="697" t="s">
        <v>985</v>
      </c>
      <c r="O4" s="698" t="s">
        <v>986</v>
      </c>
    </row>
    <row r="5" spans="1:15">
      <c r="A5" s="693"/>
      <c r="B5" s="1497"/>
      <c r="C5" s="1497"/>
      <c r="D5" s="1500"/>
      <c r="E5" s="1488" t="s">
        <v>987</v>
      </c>
      <c r="F5" s="1489"/>
      <c r="G5" s="1490"/>
      <c r="H5" s="1491" t="s">
        <v>988</v>
      </c>
      <c r="I5" s="1492"/>
      <c r="J5" s="699" t="s">
        <v>989</v>
      </c>
      <c r="K5" s="700" t="s">
        <v>990</v>
      </c>
      <c r="L5" s="701"/>
      <c r="M5" s="702" t="s">
        <v>991</v>
      </c>
      <c r="N5" s="703" t="s">
        <v>991</v>
      </c>
      <c r="O5" s="703" t="s">
        <v>991</v>
      </c>
    </row>
    <row r="6" spans="1:15" ht="24" customHeight="1" thickBot="1">
      <c r="A6" s="704"/>
      <c r="B6" s="1498"/>
      <c r="C6" s="1498"/>
      <c r="D6" s="1501"/>
      <c r="E6" s="1493" t="s">
        <v>992</v>
      </c>
      <c r="F6" s="1494"/>
      <c r="G6" s="1495"/>
      <c r="H6" s="705"/>
      <c r="I6" s="706" t="s">
        <v>993</v>
      </c>
      <c r="J6" s="707" t="s">
        <v>637</v>
      </c>
      <c r="K6" s="707" t="s">
        <v>638</v>
      </c>
      <c r="L6" s="705"/>
      <c r="M6" s="708" t="s">
        <v>639</v>
      </c>
      <c r="N6" s="709" t="s">
        <v>639</v>
      </c>
      <c r="O6" s="709" t="s">
        <v>639</v>
      </c>
    </row>
    <row r="7" spans="1:15" ht="27.75" customHeight="1">
      <c r="A7" s="1512" t="s">
        <v>994</v>
      </c>
      <c r="B7" s="1514" t="s">
        <v>995</v>
      </c>
      <c r="C7" s="710" t="s">
        <v>996</v>
      </c>
      <c r="D7" s="711" t="s">
        <v>639</v>
      </c>
      <c r="E7" s="712"/>
      <c r="F7" s="713"/>
      <c r="G7" s="714"/>
      <c r="H7" s="715">
        <v>34.6</v>
      </c>
      <c r="I7" s="716" t="s">
        <v>640</v>
      </c>
      <c r="J7" s="717">
        <f t="shared" ref="J7:J13" si="0">E7*H7</f>
        <v>0</v>
      </c>
      <c r="K7" s="718">
        <v>2.58E-2</v>
      </c>
      <c r="L7" s="719">
        <f>ROUNDDOWN(H7*K7,5-INT(LOG(ABS(H7*K7))))</f>
        <v>0.89268000000000003</v>
      </c>
      <c r="M7" s="720">
        <f>E7*H7*K7</f>
        <v>0</v>
      </c>
      <c r="N7" s="721">
        <f>F7*H7*K7</f>
        <v>0</v>
      </c>
      <c r="O7" s="721">
        <f>G7*H7*K7</f>
        <v>0</v>
      </c>
    </row>
    <row r="8" spans="1:15" ht="27.75" customHeight="1">
      <c r="A8" s="1512"/>
      <c r="B8" s="1515"/>
      <c r="C8" s="722" t="s">
        <v>997</v>
      </c>
      <c r="D8" s="723" t="s">
        <v>639</v>
      </c>
      <c r="E8" s="724"/>
      <c r="F8" s="725"/>
      <c r="G8" s="726"/>
      <c r="H8" s="727">
        <v>36.700000000000003</v>
      </c>
      <c r="I8" s="728" t="s">
        <v>640</v>
      </c>
      <c r="J8" s="729">
        <f t="shared" si="0"/>
        <v>0</v>
      </c>
      <c r="K8" s="730">
        <v>2.58E-2</v>
      </c>
      <c r="L8" s="731">
        <f t="shared" ref="L8:L13" si="1">ROUNDDOWN(H8*K8,5-INT(LOG(ABS(H8*K8))))</f>
        <v>0.94686000000000003</v>
      </c>
      <c r="M8" s="732">
        <f t="shared" ref="M8:M13" si="2">E8*H8*K8</f>
        <v>0</v>
      </c>
      <c r="N8" s="733">
        <f t="shared" ref="N8:N13" si="3">F8*H8*K8</f>
        <v>0</v>
      </c>
      <c r="O8" s="733">
        <f t="shared" ref="O8:O13" si="4">G8*H8*K8</f>
        <v>0</v>
      </c>
    </row>
    <row r="9" spans="1:15" ht="27.75" customHeight="1">
      <c r="A9" s="1512"/>
      <c r="B9" s="1515"/>
      <c r="C9" s="722" t="s">
        <v>998</v>
      </c>
      <c r="D9" s="723" t="s">
        <v>639</v>
      </c>
      <c r="E9" s="724"/>
      <c r="F9" s="725"/>
      <c r="G9" s="726"/>
      <c r="H9" s="727">
        <v>37.700000000000003</v>
      </c>
      <c r="I9" s="728" t="s">
        <v>640</v>
      </c>
      <c r="J9" s="729">
        <f t="shared" si="0"/>
        <v>0</v>
      </c>
      <c r="K9" s="730">
        <v>2.58E-2</v>
      </c>
      <c r="L9" s="731">
        <f t="shared" si="1"/>
        <v>0.97265999999999997</v>
      </c>
      <c r="M9" s="732">
        <f t="shared" si="2"/>
        <v>0</v>
      </c>
      <c r="N9" s="733">
        <f t="shared" si="3"/>
        <v>0</v>
      </c>
      <c r="O9" s="733">
        <f t="shared" si="4"/>
        <v>0</v>
      </c>
    </row>
    <row r="10" spans="1:15" ht="27.75" customHeight="1">
      <c r="A10" s="1512"/>
      <c r="B10" s="1515"/>
      <c r="C10" s="722" t="s">
        <v>999</v>
      </c>
      <c r="D10" s="723" t="s">
        <v>639</v>
      </c>
      <c r="E10" s="724"/>
      <c r="F10" s="725"/>
      <c r="G10" s="726"/>
      <c r="H10" s="727">
        <v>39.1</v>
      </c>
      <c r="I10" s="728" t="s">
        <v>640</v>
      </c>
      <c r="J10" s="729">
        <f t="shared" si="0"/>
        <v>0</v>
      </c>
      <c r="K10" s="730">
        <v>2.58E-2</v>
      </c>
      <c r="L10" s="731">
        <f t="shared" si="1"/>
        <v>1.00878</v>
      </c>
      <c r="M10" s="732">
        <f t="shared" si="2"/>
        <v>0</v>
      </c>
      <c r="N10" s="733">
        <f t="shared" si="3"/>
        <v>0</v>
      </c>
      <c r="O10" s="733">
        <f t="shared" si="4"/>
        <v>0</v>
      </c>
    </row>
    <row r="11" spans="1:15" ht="27.75" customHeight="1">
      <c r="A11" s="1512"/>
      <c r="B11" s="1515"/>
      <c r="C11" s="722" t="s">
        <v>1000</v>
      </c>
      <c r="D11" s="723" t="s">
        <v>641</v>
      </c>
      <c r="E11" s="724"/>
      <c r="F11" s="725"/>
      <c r="G11" s="726"/>
      <c r="H11" s="727">
        <v>50.8</v>
      </c>
      <c r="I11" s="728" t="s">
        <v>642</v>
      </c>
      <c r="J11" s="729">
        <f t="shared" si="0"/>
        <v>0</v>
      </c>
      <c r="K11" s="730">
        <v>2.58E-2</v>
      </c>
      <c r="L11" s="731">
        <f t="shared" si="1"/>
        <v>1.31064</v>
      </c>
      <c r="M11" s="732">
        <f t="shared" si="2"/>
        <v>0</v>
      </c>
      <c r="N11" s="733">
        <f t="shared" si="3"/>
        <v>0</v>
      </c>
      <c r="O11" s="733">
        <f t="shared" si="4"/>
        <v>0</v>
      </c>
    </row>
    <row r="12" spans="1:15" ht="27.75" customHeight="1">
      <c r="A12" s="1512"/>
      <c r="B12" s="1515"/>
      <c r="C12" s="722" t="s">
        <v>1001</v>
      </c>
      <c r="D12" s="723" t="s">
        <v>641</v>
      </c>
      <c r="E12" s="724"/>
      <c r="F12" s="725"/>
      <c r="G12" s="726"/>
      <c r="H12" s="727">
        <v>54.6</v>
      </c>
      <c r="I12" s="728" t="s">
        <v>642</v>
      </c>
      <c r="J12" s="729">
        <f t="shared" si="0"/>
        <v>0</v>
      </c>
      <c r="K12" s="730">
        <v>2.58E-2</v>
      </c>
      <c r="L12" s="731">
        <f t="shared" si="1"/>
        <v>1.4086799999999999</v>
      </c>
      <c r="M12" s="732">
        <f t="shared" si="2"/>
        <v>0</v>
      </c>
      <c r="N12" s="733">
        <f t="shared" si="3"/>
        <v>0</v>
      </c>
      <c r="O12" s="733">
        <f t="shared" si="4"/>
        <v>0</v>
      </c>
    </row>
    <row r="13" spans="1:15" ht="27.75" customHeight="1" thickBot="1">
      <c r="A13" s="1512"/>
      <c r="B13" s="1515"/>
      <c r="C13" s="734" t="s">
        <v>1002</v>
      </c>
      <c r="D13" s="735" t="s">
        <v>1003</v>
      </c>
      <c r="E13" s="736"/>
      <c r="F13" s="737"/>
      <c r="G13" s="738"/>
      <c r="H13" s="739">
        <v>45</v>
      </c>
      <c r="I13" s="740" t="s">
        <v>1004</v>
      </c>
      <c r="J13" s="729">
        <f t="shared" si="0"/>
        <v>0</v>
      </c>
      <c r="K13" s="730">
        <v>2.58E-2</v>
      </c>
      <c r="L13" s="731">
        <f t="shared" si="1"/>
        <v>1.161</v>
      </c>
      <c r="M13" s="741">
        <f t="shared" si="2"/>
        <v>0</v>
      </c>
      <c r="N13" s="742">
        <f t="shared" si="3"/>
        <v>0</v>
      </c>
      <c r="O13" s="742">
        <f t="shared" si="4"/>
        <v>0</v>
      </c>
    </row>
    <row r="14" spans="1:15" ht="27.75" customHeight="1" thickTop="1" thickBot="1">
      <c r="A14" s="1512"/>
      <c r="B14" s="743"/>
      <c r="C14" s="1516" t="s">
        <v>1005</v>
      </c>
      <c r="D14" s="1517"/>
      <c r="E14" s="1518"/>
      <c r="F14" s="1519"/>
      <c r="G14" s="1520"/>
      <c r="H14" s="1521"/>
      <c r="I14" s="1522"/>
      <c r="J14" s="744">
        <f>SUM(J7:J13)</f>
        <v>0</v>
      </c>
      <c r="K14" s="730"/>
      <c r="L14" s="745"/>
      <c r="M14" s="746">
        <f>SUM(M7:M13)</f>
        <v>0</v>
      </c>
      <c r="N14" s="747">
        <f>SUM(N7:N13)</f>
        <v>0</v>
      </c>
      <c r="O14" s="747">
        <f>SUM(O7:O13)</f>
        <v>0</v>
      </c>
    </row>
    <row r="15" spans="1:15" ht="25.5" hidden="1" customHeight="1" thickTop="1">
      <c r="A15" s="1513"/>
      <c r="B15" s="748"/>
      <c r="C15" s="749"/>
      <c r="D15" s="750"/>
      <c r="E15" s="751" t="s">
        <v>1006</v>
      </c>
      <c r="F15" s="752"/>
      <c r="G15" s="753"/>
      <c r="H15" s="752" t="s">
        <v>988</v>
      </c>
      <c r="I15" s="754"/>
      <c r="J15" s="755" t="s">
        <v>989</v>
      </c>
      <c r="K15" s="730"/>
      <c r="L15" s="756"/>
      <c r="M15" s="757" t="e">
        <f>E15*H15*K15</f>
        <v>#VALUE!</v>
      </c>
      <c r="N15" s="758">
        <f>F15*I15*L15</f>
        <v>0</v>
      </c>
      <c r="O15" s="758" t="e">
        <f>G15*J15*M15</f>
        <v>#VALUE!</v>
      </c>
    </row>
    <row r="16" spans="1:15" ht="28.5" customHeight="1" thickBot="1">
      <c r="A16" s="1512"/>
      <c r="B16" s="1523" t="s">
        <v>1007</v>
      </c>
      <c r="C16" s="1524"/>
      <c r="D16" s="759" t="s">
        <v>1008</v>
      </c>
      <c r="E16" s="760"/>
      <c r="F16" s="761"/>
      <c r="G16" s="762"/>
      <c r="H16" s="763">
        <v>9.76</v>
      </c>
      <c r="I16" s="764" t="s">
        <v>1009</v>
      </c>
      <c r="J16" s="765">
        <f>E16*H16</f>
        <v>0</v>
      </c>
      <c r="K16" s="766">
        <v>2.58E-2</v>
      </c>
      <c r="L16" s="767">
        <f t="shared" ref="L16" si="5">ROUNDDOWN(H16*K16,5-INT(LOG(ABS(H16*K16))))</f>
        <v>0.25180799999999998</v>
      </c>
      <c r="M16" s="768">
        <f t="shared" ref="M16" si="6">E16*H16*K16</f>
        <v>0</v>
      </c>
      <c r="N16" s="769">
        <f t="shared" ref="N16" si="7">F16*H16*K16</f>
        <v>0</v>
      </c>
      <c r="O16" s="769">
        <f t="shared" ref="O16" si="8">G16*H16*K16</f>
        <v>0</v>
      </c>
    </row>
    <row r="17" spans="1:15" ht="28.5" customHeight="1" thickBot="1">
      <c r="A17" s="770"/>
      <c r="B17" s="1478" t="s">
        <v>601</v>
      </c>
      <c r="C17" s="1479"/>
      <c r="D17" s="1480"/>
      <c r="E17" s="771"/>
      <c r="F17" s="772"/>
      <c r="G17" s="773"/>
      <c r="H17" s="1481"/>
      <c r="I17" s="1482"/>
      <c r="J17" s="774">
        <f>+J14+J16</f>
        <v>0</v>
      </c>
      <c r="K17" s="775"/>
      <c r="L17" s="776"/>
      <c r="M17" s="777">
        <f>+M14+M16</f>
        <v>0</v>
      </c>
      <c r="N17" s="778">
        <f>+N14+N16</f>
        <v>0</v>
      </c>
      <c r="O17" s="778">
        <f>+O14+O16</f>
        <v>0</v>
      </c>
    </row>
  </sheetData>
  <sheetProtection algorithmName="SHA-512" hashValue="B8HCC+d3cXwD+2ZJ003c86mluIOcYFqwkw8pZsUZbkmki3FS2E1kjDIOC9hZgfFFjUQ3ckNM3C61jVWEPoLgKg==" saltValue="rK7+kGUnfcKe8Dr6JvcRlg==" spinCount="100000" sheet="1" objects="1" scenarios="1" formatCells="0"/>
  <mergeCells count="19">
    <mergeCell ref="A7:A16"/>
    <mergeCell ref="B7:B13"/>
    <mergeCell ref="C14:D14"/>
    <mergeCell ref="E14:G14"/>
    <mergeCell ref="H14:I14"/>
    <mergeCell ref="B16:C16"/>
    <mergeCell ref="B17:D17"/>
    <mergeCell ref="H17:I17"/>
    <mergeCell ref="L3:L4"/>
    <mergeCell ref="M3:O3"/>
    <mergeCell ref="E5:G5"/>
    <mergeCell ref="H5:I5"/>
    <mergeCell ref="E6:G6"/>
    <mergeCell ref="B3:C6"/>
    <mergeCell ref="D3:D6"/>
    <mergeCell ref="E3:G3"/>
    <mergeCell ref="H3:I4"/>
    <mergeCell ref="J3:J4"/>
    <mergeCell ref="K3:K4"/>
  </mergeCells>
  <phoneticPr fontId="1"/>
  <conditionalFormatting sqref="E7:G13">
    <cfRule type="containsBlanks" dxfId="1" priority="2">
      <formula>LEN(TRIM(E7))=0</formula>
    </cfRule>
  </conditionalFormatting>
  <conditionalFormatting sqref="E16:G16">
    <cfRule type="containsBlanks" dxfId="0" priority="1">
      <formula>LEN(TRIM(E16))=0</formula>
    </cfRule>
  </conditionalFormatting>
  <printOptions horizontalCentered="1"/>
  <pageMargins left="0.70866141732283472" right="0.18" top="0.74803149606299213" bottom="0.74803149606299213" header="0.31496062992125984" footer="0.31496062992125984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65"/>
  <sheetViews>
    <sheetView topLeftCell="A39" zoomScale="85" zoomScaleNormal="85" workbookViewId="0">
      <selection activeCell="C67" sqref="C67"/>
    </sheetView>
  </sheetViews>
  <sheetFormatPr defaultRowHeight="13.5"/>
  <cols>
    <col min="2" max="2" width="10.375" bestFit="1" customWidth="1"/>
    <col min="3" max="3" width="9.875" bestFit="1" customWidth="1"/>
    <col min="4" max="4" width="11" bestFit="1" customWidth="1"/>
    <col min="18" max="19" width="0" hidden="1" customWidth="1"/>
  </cols>
  <sheetData>
    <row r="2" spans="2:18" ht="14.25" thickBot="1">
      <c r="B2" s="296" t="s">
        <v>536</v>
      </c>
      <c r="C2" s="296" t="s">
        <v>539</v>
      </c>
      <c r="D2" t="s">
        <v>538</v>
      </c>
    </row>
    <row r="3" spans="2:18" ht="14.25" thickTop="1">
      <c r="B3" s="295" t="s">
        <v>473</v>
      </c>
      <c r="C3" s="295" t="s">
        <v>4</v>
      </c>
      <c r="D3" t="s">
        <v>4</v>
      </c>
      <c r="R3" t="s">
        <v>410</v>
      </c>
    </row>
    <row r="4" spans="2:18">
      <c r="B4" s="111" t="s">
        <v>474</v>
      </c>
      <c r="C4" s="111" t="s">
        <v>4</v>
      </c>
      <c r="D4" t="s">
        <v>5</v>
      </c>
      <c r="R4" t="s">
        <v>411</v>
      </c>
    </row>
    <row r="5" spans="2:18">
      <c r="B5" s="111" t="s">
        <v>475</v>
      </c>
      <c r="C5" s="111" t="s">
        <v>4</v>
      </c>
      <c r="D5" t="s">
        <v>537</v>
      </c>
      <c r="R5" t="s">
        <v>412</v>
      </c>
    </row>
    <row r="6" spans="2:18">
      <c r="B6" s="111" t="s">
        <v>476</v>
      </c>
      <c r="C6" s="111" t="s">
        <v>5</v>
      </c>
      <c r="R6" t="s">
        <v>413</v>
      </c>
    </row>
    <row r="7" spans="2:18">
      <c r="B7" s="111" t="s">
        <v>477</v>
      </c>
      <c r="C7" s="111" t="s">
        <v>537</v>
      </c>
      <c r="R7" t="s">
        <v>414</v>
      </c>
    </row>
    <row r="8" spans="2:18">
      <c r="B8" s="111" t="s">
        <v>478</v>
      </c>
      <c r="C8" s="111" t="s">
        <v>5</v>
      </c>
      <c r="R8" t="s">
        <v>415</v>
      </c>
    </row>
    <row r="9" spans="2:18">
      <c r="B9" s="111" t="s">
        <v>479</v>
      </c>
      <c r="C9" s="111" t="s">
        <v>4</v>
      </c>
      <c r="R9" t="s">
        <v>416</v>
      </c>
    </row>
    <row r="10" spans="2:18">
      <c r="B10" s="111" t="s">
        <v>480</v>
      </c>
      <c r="C10" s="111" t="s">
        <v>5</v>
      </c>
      <c r="R10" t="s">
        <v>417</v>
      </c>
    </row>
    <row r="11" spans="2:18">
      <c r="B11" s="111" t="s">
        <v>481</v>
      </c>
      <c r="C11" s="111" t="s">
        <v>4</v>
      </c>
      <c r="R11" t="s">
        <v>418</v>
      </c>
    </row>
    <row r="12" spans="2:18">
      <c r="B12" s="111" t="s">
        <v>482</v>
      </c>
      <c r="C12" s="111" t="s">
        <v>5</v>
      </c>
      <c r="R12" t="s">
        <v>419</v>
      </c>
    </row>
    <row r="13" spans="2:18">
      <c r="B13" s="111" t="s">
        <v>483</v>
      </c>
      <c r="C13" s="111" t="s">
        <v>5</v>
      </c>
      <c r="R13" t="s">
        <v>420</v>
      </c>
    </row>
    <row r="14" spans="2:18">
      <c r="B14" s="111" t="s">
        <v>484</v>
      </c>
      <c r="C14" s="111" t="s">
        <v>5</v>
      </c>
      <c r="R14" t="s">
        <v>421</v>
      </c>
    </row>
    <row r="15" spans="2:18">
      <c r="B15" s="111" t="s">
        <v>485</v>
      </c>
      <c r="C15" s="111" t="s">
        <v>4</v>
      </c>
      <c r="R15" t="s">
        <v>422</v>
      </c>
    </row>
    <row r="16" spans="2:18">
      <c r="B16" s="111" t="s">
        <v>486</v>
      </c>
      <c r="C16" s="111" t="s">
        <v>4</v>
      </c>
      <c r="R16" t="s">
        <v>423</v>
      </c>
    </row>
    <row r="17" spans="2:18">
      <c r="B17" s="111" t="s">
        <v>488</v>
      </c>
      <c r="C17" s="111" t="s">
        <v>4</v>
      </c>
      <c r="R17" t="s">
        <v>424</v>
      </c>
    </row>
    <row r="18" spans="2:18">
      <c r="B18" s="111" t="s">
        <v>487</v>
      </c>
      <c r="C18" s="111" t="s">
        <v>4</v>
      </c>
      <c r="R18" t="s">
        <v>425</v>
      </c>
    </row>
    <row r="19" spans="2:18">
      <c r="B19" s="111" t="s">
        <v>489</v>
      </c>
      <c r="C19" s="111" t="s">
        <v>5</v>
      </c>
      <c r="R19" t="s">
        <v>426</v>
      </c>
    </row>
    <row r="20" spans="2:18">
      <c r="B20" s="111" t="s">
        <v>490</v>
      </c>
      <c r="C20" s="111" t="s">
        <v>5</v>
      </c>
      <c r="R20" t="s">
        <v>427</v>
      </c>
    </row>
    <row r="21" spans="2:18">
      <c r="B21" s="111" t="s">
        <v>491</v>
      </c>
      <c r="C21" s="111" t="s">
        <v>5</v>
      </c>
      <c r="R21" t="s">
        <v>428</v>
      </c>
    </row>
    <row r="22" spans="2:18">
      <c r="B22" s="111" t="s">
        <v>492</v>
      </c>
      <c r="C22" s="111" t="s">
        <v>5</v>
      </c>
      <c r="R22" t="s">
        <v>429</v>
      </c>
    </row>
    <row r="23" spans="2:18">
      <c r="B23" s="111" t="s">
        <v>493</v>
      </c>
      <c r="C23" s="111" t="s">
        <v>4</v>
      </c>
      <c r="R23" t="s">
        <v>430</v>
      </c>
    </row>
    <row r="24" spans="2:18">
      <c r="B24" s="111" t="s">
        <v>494</v>
      </c>
      <c r="C24" s="111" t="s">
        <v>4</v>
      </c>
      <c r="R24" t="s">
        <v>431</v>
      </c>
    </row>
    <row r="25" spans="2:18">
      <c r="B25" s="111" t="s">
        <v>495</v>
      </c>
      <c r="C25" s="111" t="s">
        <v>5</v>
      </c>
      <c r="R25" t="s">
        <v>432</v>
      </c>
    </row>
    <row r="26" spans="2:18">
      <c r="B26" s="111" t="s">
        <v>496</v>
      </c>
      <c r="C26" s="111" t="s">
        <v>4</v>
      </c>
      <c r="R26" t="s">
        <v>433</v>
      </c>
    </row>
    <row r="27" spans="2:18">
      <c r="B27" s="111" t="s">
        <v>497</v>
      </c>
      <c r="C27" s="111" t="s">
        <v>4</v>
      </c>
      <c r="R27" t="s">
        <v>434</v>
      </c>
    </row>
    <row r="28" spans="2:18">
      <c r="B28" s="111" t="s">
        <v>498</v>
      </c>
      <c r="C28" s="111" t="s">
        <v>4</v>
      </c>
      <c r="R28" t="s">
        <v>435</v>
      </c>
    </row>
    <row r="29" spans="2:18">
      <c r="B29" s="111" t="s">
        <v>499</v>
      </c>
      <c r="C29" s="111" t="s">
        <v>4</v>
      </c>
      <c r="R29" t="s">
        <v>436</v>
      </c>
    </row>
    <row r="30" spans="2:18">
      <c r="B30" s="111" t="s">
        <v>500</v>
      </c>
      <c r="C30" s="111" t="s">
        <v>4</v>
      </c>
      <c r="R30" t="s">
        <v>437</v>
      </c>
    </row>
    <row r="31" spans="2:18">
      <c r="B31" s="111" t="s">
        <v>501</v>
      </c>
      <c r="C31" s="111" t="s">
        <v>4</v>
      </c>
      <c r="R31" t="s">
        <v>438</v>
      </c>
    </row>
    <row r="32" spans="2:18">
      <c r="B32" s="111" t="s">
        <v>502</v>
      </c>
      <c r="C32" s="111" t="s">
        <v>537</v>
      </c>
      <c r="R32" t="s">
        <v>439</v>
      </c>
    </row>
    <row r="33" spans="2:18">
      <c r="B33" s="111" t="s">
        <v>503</v>
      </c>
      <c r="C33" s="111" t="s">
        <v>5</v>
      </c>
      <c r="R33" t="s">
        <v>440</v>
      </c>
    </row>
    <row r="34" spans="2:18">
      <c r="B34" s="111" t="s">
        <v>504</v>
      </c>
      <c r="C34" s="111" t="s">
        <v>5</v>
      </c>
      <c r="R34" t="s">
        <v>441</v>
      </c>
    </row>
    <row r="35" spans="2:18">
      <c r="B35" s="111" t="s">
        <v>505</v>
      </c>
      <c r="C35" s="111" t="s">
        <v>4</v>
      </c>
      <c r="R35" t="s">
        <v>442</v>
      </c>
    </row>
    <row r="36" spans="2:18">
      <c r="B36" s="111" t="s">
        <v>506</v>
      </c>
      <c r="C36" s="111" t="s">
        <v>4</v>
      </c>
      <c r="R36" t="s">
        <v>443</v>
      </c>
    </row>
    <row r="37" spans="2:18">
      <c r="B37" s="111" t="s">
        <v>507</v>
      </c>
      <c r="C37" s="111" t="s">
        <v>537</v>
      </c>
      <c r="R37" t="s">
        <v>444</v>
      </c>
    </row>
    <row r="38" spans="2:18">
      <c r="B38" s="111" t="s">
        <v>508</v>
      </c>
      <c r="C38" s="111" t="s">
        <v>5</v>
      </c>
      <c r="R38" t="s">
        <v>445</v>
      </c>
    </row>
    <row r="39" spans="2:18">
      <c r="B39" s="111" t="s">
        <v>509</v>
      </c>
      <c r="C39" s="111" t="s">
        <v>4</v>
      </c>
      <c r="R39" t="s">
        <v>446</v>
      </c>
    </row>
    <row r="40" spans="2:18">
      <c r="B40" s="111" t="s">
        <v>510</v>
      </c>
      <c r="C40" s="111" t="s">
        <v>4</v>
      </c>
      <c r="R40" t="s">
        <v>447</v>
      </c>
    </row>
    <row r="41" spans="2:18">
      <c r="B41" s="111" t="s">
        <v>511</v>
      </c>
      <c r="C41" s="111" t="s">
        <v>5</v>
      </c>
      <c r="R41" t="s">
        <v>448</v>
      </c>
    </row>
    <row r="42" spans="2:18">
      <c r="B42" s="111" t="s">
        <v>512</v>
      </c>
      <c r="C42" s="111" t="s">
        <v>5</v>
      </c>
      <c r="R42" t="s">
        <v>449</v>
      </c>
    </row>
    <row r="43" spans="2:18">
      <c r="B43" s="111" t="s">
        <v>513</v>
      </c>
      <c r="C43" s="111" t="s">
        <v>5</v>
      </c>
      <c r="R43" t="s">
        <v>450</v>
      </c>
    </row>
    <row r="44" spans="2:18">
      <c r="B44" s="111" t="s">
        <v>514</v>
      </c>
      <c r="C44" s="111" t="s">
        <v>5</v>
      </c>
      <c r="R44" t="s">
        <v>451</v>
      </c>
    </row>
    <row r="45" spans="2:18">
      <c r="B45" s="111" t="s">
        <v>515</v>
      </c>
      <c r="C45" s="111" t="s">
        <v>5</v>
      </c>
      <c r="R45" t="s">
        <v>452</v>
      </c>
    </row>
    <row r="46" spans="2:18">
      <c r="B46" s="111" t="s">
        <v>516</v>
      </c>
      <c r="C46" s="111" t="s">
        <v>5</v>
      </c>
      <c r="R46" t="s">
        <v>453</v>
      </c>
    </row>
    <row r="47" spans="2:18">
      <c r="B47" s="111" t="s">
        <v>517</v>
      </c>
      <c r="C47" s="111" t="s">
        <v>5</v>
      </c>
      <c r="R47" t="s">
        <v>454</v>
      </c>
    </row>
    <row r="48" spans="2:18">
      <c r="B48" s="111" t="s">
        <v>518</v>
      </c>
      <c r="C48" s="111" t="s">
        <v>4</v>
      </c>
      <c r="R48" t="s">
        <v>455</v>
      </c>
    </row>
    <row r="49" spans="2:18">
      <c r="B49" s="111" t="s">
        <v>519</v>
      </c>
      <c r="C49" s="111" t="s">
        <v>4</v>
      </c>
      <c r="R49" t="s">
        <v>456</v>
      </c>
    </row>
    <row r="50" spans="2:18">
      <c r="B50" s="111" t="s">
        <v>520</v>
      </c>
      <c r="C50" s="111" t="s">
        <v>5</v>
      </c>
      <c r="R50" t="s">
        <v>457</v>
      </c>
    </row>
    <row r="51" spans="2:18">
      <c r="B51" s="111" t="s">
        <v>521</v>
      </c>
      <c r="C51" s="111" t="s">
        <v>4</v>
      </c>
      <c r="R51" t="s">
        <v>458</v>
      </c>
    </row>
    <row r="52" spans="2:18">
      <c r="B52" s="111" t="s">
        <v>522</v>
      </c>
      <c r="C52" s="111" t="s">
        <v>4</v>
      </c>
      <c r="R52" t="s">
        <v>459</v>
      </c>
    </row>
    <row r="53" spans="2:18">
      <c r="B53" s="111" t="s">
        <v>523</v>
      </c>
      <c r="C53" s="111" t="s">
        <v>5</v>
      </c>
      <c r="R53" t="s">
        <v>460</v>
      </c>
    </row>
    <row r="54" spans="2:18">
      <c r="B54" s="111" t="s">
        <v>524</v>
      </c>
      <c r="C54" s="111" t="s">
        <v>537</v>
      </c>
      <c r="R54" t="s">
        <v>461</v>
      </c>
    </row>
    <row r="55" spans="2:18">
      <c r="B55" s="111" t="s">
        <v>525</v>
      </c>
      <c r="C55" s="111" t="s">
        <v>4</v>
      </c>
      <c r="R55" t="s">
        <v>462</v>
      </c>
    </row>
    <row r="56" spans="2:18">
      <c r="B56" s="111" t="s">
        <v>526</v>
      </c>
      <c r="C56" s="111" t="s">
        <v>4</v>
      </c>
      <c r="R56" t="s">
        <v>463</v>
      </c>
    </row>
    <row r="57" spans="2:18">
      <c r="B57" s="111" t="s">
        <v>527</v>
      </c>
      <c r="C57" s="111" t="s">
        <v>5</v>
      </c>
      <c r="R57" t="s">
        <v>464</v>
      </c>
    </row>
    <row r="58" spans="2:18">
      <c r="B58" s="111" t="s">
        <v>528</v>
      </c>
      <c r="C58" s="111" t="s">
        <v>4</v>
      </c>
      <c r="R58" t="s">
        <v>465</v>
      </c>
    </row>
    <row r="59" spans="2:18">
      <c r="B59" s="111" t="s">
        <v>529</v>
      </c>
      <c r="C59" s="111" t="s">
        <v>537</v>
      </c>
      <c r="R59" t="s">
        <v>466</v>
      </c>
    </row>
    <row r="60" spans="2:18">
      <c r="B60" s="111" t="s">
        <v>530</v>
      </c>
      <c r="C60" s="111" t="s">
        <v>4</v>
      </c>
      <c r="R60" t="s">
        <v>467</v>
      </c>
    </row>
    <row r="61" spans="2:18">
      <c r="B61" s="111" t="s">
        <v>531</v>
      </c>
      <c r="C61" s="111" t="s">
        <v>5</v>
      </c>
      <c r="R61" t="s">
        <v>468</v>
      </c>
    </row>
    <row r="62" spans="2:18">
      <c r="B62" s="111" t="s">
        <v>532</v>
      </c>
      <c r="C62" s="111" t="s">
        <v>5</v>
      </c>
      <c r="R62" t="s">
        <v>469</v>
      </c>
    </row>
    <row r="63" spans="2:18">
      <c r="B63" s="111" t="s">
        <v>533</v>
      </c>
      <c r="C63" s="111" t="s">
        <v>5</v>
      </c>
      <c r="R63" t="s">
        <v>470</v>
      </c>
    </row>
    <row r="64" spans="2:18">
      <c r="B64" s="111" t="s">
        <v>534</v>
      </c>
      <c r="C64" s="111" t="s">
        <v>4</v>
      </c>
      <c r="R64" t="s">
        <v>471</v>
      </c>
    </row>
    <row r="65" spans="2:18">
      <c r="B65" s="111" t="s">
        <v>535</v>
      </c>
      <c r="C65" s="111" t="s">
        <v>4</v>
      </c>
      <c r="R65" t="s">
        <v>472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152"/>
  <sheetViews>
    <sheetView topLeftCell="A55" workbookViewId="0">
      <selection activeCell="M14" sqref="M14"/>
    </sheetView>
  </sheetViews>
  <sheetFormatPr defaultColWidth="9" defaultRowHeight="13.5"/>
  <cols>
    <col min="1" max="1" width="4.375" style="1" customWidth="1"/>
    <col min="2" max="8" width="9" style="1"/>
    <col min="9" max="9" width="11.25" style="1" customWidth="1"/>
    <col min="10" max="10" width="9" style="1"/>
    <col min="11" max="11" width="0.375" style="1" customWidth="1"/>
    <col min="12" max="16384" width="9" style="1"/>
  </cols>
  <sheetData>
    <row r="2" spans="1:9">
      <c r="A2" s="81" t="s">
        <v>248</v>
      </c>
    </row>
    <row r="4" spans="1:9">
      <c r="A4" s="81">
        <v>1</v>
      </c>
      <c r="B4" s="81" t="s">
        <v>249</v>
      </c>
    </row>
    <row r="5" spans="1:9">
      <c r="B5" s="81" t="s">
        <v>296</v>
      </c>
    </row>
    <row r="6" spans="1:9">
      <c r="C6" s="1525" t="s">
        <v>250</v>
      </c>
      <c r="D6" s="1525"/>
      <c r="E6" s="1525"/>
      <c r="F6" s="1525"/>
      <c r="G6" s="1525"/>
      <c r="H6" s="1525"/>
      <c r="I6" s="1525"/>
    </row>
    <row r="7" spans="1:9">
      <c r="C7" s="1525"/>
      <c r="D7" s="1525"/>
      <c r="E7" s="1525"/>
      <c r="F7" s="1525"/>
      <c r="G7" s="1525"/>
      <c r="H7" s="1525"/>
      <c r="I7" s="1525"/>
    </row>
    <row r="8" spans="1:9">
      <c r="C8" s="1525"/>
      <c r="D8" s="1525"/>
      <c r="E8" s="1525"/>
      <c r="F8" s="1525"/>
      <c r="G8" s="1525"/>
      <c r="H8" s="1525"/>
      <c r="I8" s="1525"/>
    </row>
    <row r="9" spans="1:9" ht="13.5" customHeight="1">
      <c r="C9" s="1525" t="s">
        <v>251</v>
      </c>
      <c r="D9" s="1525"/>
      <c r="E9" s="1525"/>
      <c r="F9" s="1525"/>
      <c r="G9" s="1525"/>
      <c r="H9" s="1525"/>
      <c r="I9" s="1525"/>
    </row>
    <row r="10" spans="1:9">
      <c r="C10" s="1525"/>
      <c r="D10" s="1525"/>
      <c r="E10" s="1525"/>
      <c r="F10" s="1525"/>
      <c r="G10" s="1525"/>
      <c r="H10" s="1525"/>
      <c r="I10" s="1525"/>
    </row>
    <row r="11" spans="1:9">
      <c r="C11" s="1525"/>
      <c r="D11" s="1525"/>
      <c r="E11" s="1525"/>
      <c r="F11" s="1525"/>
      <c r="G11" s="1525"/>
      <c r="H11" s="1525"/>
      <c r="I11" s="1525"/>
    </row>
    <row r="12" spans="1:9">
      <c r="C12" s="1525"/>
      <c r="D12" s="1525"/>
      <c r="E12" s="1525"/>
      <c r="F12" s="1525"/>
      <c r="G12" s="1525"/>
      <c r="H12" s="1525"/>
      <c r="I12" s="1525"/>
    </row>
    <row r="13" spans="1:9">
      <c r="C13" s="1525"/>
      <c r="D13" s="1525"/>
      <c r="E13" s="1525"/>
      <c r="F13" s="1525"/>
      <c r="G13" s="1525"/>
      <c r="H13" s="1525"/>
      <c r="I13" s="1525"/>
    </row>
    <row r="14" spans="1:9">
      <c r="C14" s="1525"/>
      <c r="D14" s="1525"/>
      <c r="E14" s="1525"/>
      <c r="F14" s="1525"/>
      <c r="G14" s="1525"/>
      <c r="H14" s="1525"/>
      <c r="I14" s="1525"/>
    </row>
    <row r="15" spans="1:9">
      <c r="C15" s="253"/>
      <c r="D15" s="253"/>
      <c r="E15" s="253"/>
      <c r="F15" s="253"/>
      <c r="G15" s="253"/>
      <c r="H15" s="253"/>
      <c r="I15" s="253"/>
    </row>
    <row r="16" spans="1:9">
      <c r="C16" s="1" t="s">
        <v>309</v>
      </c>
    </row>
    <row r="17" spans="1:9">
      <c r="C17" s="253"/>
      <c r="D17" s="253"/>
      <c r="E17" s="253"/>
      <c r="F17" s="253"/>
      <c r="G17" s="253"/>
      <c r="H17" s="253"/>
      <c r="I17" s="253"/>
    </row>
    <row r="18" spans="1:9">
      <c r="B18" s="81" t="s">
        <v>297</v>
      </c>
    </row>
    <row r="19" spans="1:9">
      <c r="C19" s="1525" t="s">
        <v>252</v>
      </c>
      <c r="D19" s="1525"/>
      <c r="E19" s="1525"/>
      <c r="F19" s="1525"/>
      <c r="G19" s="1525"/>
      <c r="H19" s="1525"/>
      <c r="I19" s="1525"/>
    </row>
    <row r="20" spans="1:9">
      <c r="C20" s="1525"/>
      <c r="D20" s="1525"/>
      <c r="E20" s="1525"/>
      <c r="F20" s="1525"/>
      <c r="G20" s="1525"/>
      <c r="H20" s="1525"/>
      <c r="I20" s="1525"/>
    </row>
    <row r="21" spans="1:9">
      <c r="C21" s="1525"/>
      <c r="D21" s="1525"/>
      <c r="E21" s="1525"/>
      <c r="F21" s="1525"/>
      <c r="G21" s="1525"/>
      <c r="H21" s="1525"/>
      <c r="I21" s="1525"/>
    </row>
    <row r="22" spans="1:9">
      <c r="C22" s="1525"/>
      <c r="D22" s="1525"/>
      <c r="E22" s="1525"/>
      <c r="F22" s="1525"/>
      <c r="G22" s="1525"/>
      <c r="H22" s="1525"/>
      <c r="I22" s="1525"/>
    </row>
    <row r="23" spans="1:9">
      <c r="C23" s="1525" t="s">
        <v>253</v>
      </c>
      <c r="D23" s="1525"/>
      <c r="E23" s="1525"/>
      <c r="F23" s="1525"/>
      <c r="G23" s="1525"/>
      <c r="H23" s="1525"/>
      <c r="I23" s="1525"/>
    </row>
    <row r="26" spans="1:9">
      <c r="A26" s="81">
        <v>2</v>
      </c>
      <c r="B26" s="81" t="s">
        <v>254</v>
      </c>
    </row>
    <row r="28" spans="1:9">
      <c r="C28" s="1" t="s">
        <v>273</v>
      </c>
    </row>
    <row r="30" spans="1:9">
      <c r="C30" s="870" t="s">
        <v>345</v>
      </c>
      <c r="D30" s="870"/>
      <c r="E30" s="870"/>
      <c r="F30" s="4" t="s">
        <v>266</v>
      </c>
      <c r="G30" s="4" t="s">
        <v>267</v>
      </c>
      <c r="H30" s="870" t="s">
        <v>346</v>
      </c>
      <c r="I30" s="870"/>
    </row>
    <row r="31" spans="1:9">
      <c r="C31" s="15" t="s">
        <v>255</v>
      </c>
      <c r="D31" s="15"/>
      <c r="E31" s="15"/>
      <c r="F31" s="14" t="s">
        <v>268</v>
      </c>
      <c r="G31" s="14" t="s">
        <v>269</v>
      </c>
      <c r="H31" s="1530" t="s">
        <v>272</v>
      </c>
      <c r="I31" s="1531"/>
    </row>
    <row r="32" spans="1:9">
      <c r="C32" s="15" t="s">
        <v>256</v>
      </c>
      <c r="D32" s="15"/>
      <c r="E32" s="15"/>
      <c r="F32" s="14" t="s">
        <v>268</v>
      </c>
      <c r="G32" s="14" t="s">
        <v>10</v>
      </c>
      <c r="H32" s="1532"/>
      <c r="I32" s="1533"/>
    </row>
    <row r="33" spans="2:9">
      <c r="C33" s="15" t="s">
        <v>257</v>
      </c>
      <c r="D33" s="15"/>
      <c r="E33" s="15"/>
      <c r="F33" s="14" t="s">
        <v>268</v>
      </c>
      <c r="G33" s="14" t="s">
        <v>269</v>
      </c>
      <c r="H33" s="1534"/>
      <c r="I33" s="1535"/>
    </row>
    <row r="34" spans="2:9">
      <c r="C34" s="2" t="s">
        <v>258</v>
      </c>
      <c r="D34" s="2"/>
      <c r="E34" s="2"/>
      <c r="F34" s="4" t="s">
        <v>268</v>
      </c>
      <c r="G34" s="4" t="s">
        <v>269</v>
      </c>
      <c r="H34" s="1536" t="s">
        <v>271</v>
      </c>
      <c r="I34" s="1537"/>
    </row>
    <row r="35" spans="2:9">
      <c r="C35" s="1527" t="s">
        <v>259</v>
      </c>
      <c r="D35" s="1528"/>
      <c r="E35" s="1529"/>
      <c r="F35" s="4" t="s">
        <v>10</v>
      </c>
      <c r="G35" s="4" t="s">
        <v>269</v>
      </c>
      <c r="H35" s="1538"/>
      <c r="I35" s="1539"/>
    </row>
    <row r="36" spans="2:9">
      <c r="C36" s="1527" t="s">
        <v>260</v>
      </c>
      <c r="D36" s="1528"/>
      <c r="E36" s="1529"/>
      <c r="F36" s="4" t="s">
        <v>268</v>
      </c>
      <c r="G36" s="4" t="s">
        <v>269</v>
      </c>
      <c r="H36" s="1538"/>
      <c r="I36" s="1539"/>
    </row>
    <row r="37" spans="2:9">
      <c r="C37" s="2" t="s">
        <v>261</v>
      </c>
      <c r="D37" s="2"/>
      <c r="E37" s="2"/>
      <c r="F37" s="4" t="s">
        <v>268</v>
      </c>
      <c r="G37" s="4" t="s">
        <v>270</v>
      </c>
      <c r="H37" s="1538"/>
      <c r="I37" s="1539"/>
    </row>
    <row r="38" spans="2:9">
      <c r="C38" s="2" t="s">
        <v>262</v>
      </c>
      <c r="D38" s="2"/>
      <c r="E38" s="2"/>
      <c r="F38" s="4" t="s">
        <v>268</v>
      </c>
      <c r="G38" s="4" t="s">
        <v>270</v>
      </c>
      <c r="H38" s="1538"/>
      <c r="I38" s="1539"/>
    </row>
    <row r="39" spans="2:9">
      <c r="C39" s="2" t="s">
        <v>263</v>
      </c>
      <c r="D39" s="2"/>
      <c r="E39" s="2"/>
      <c r="F39" s="4" t="s">
        <v>268</v>
      </c>
      <c r="G39" s="4" t="s">
        <v>270</v>
      </c>
      <c r="H39" s="1538"/>
      <c r="I39" s="1539"/>
    </row>
    <row r="40" spans="2:9">
      <c r="C40" s="1527" t="s">
        <v>264</v>
      </c>
      <c r="D40" s="1528"/>
      <c r="E40" s="1529"/>
      <c r="F40" s="4" t="s">
        <v>268</v>
      </c>
      <c r="G40" s="4" t="s">
        <v>269</v>
      </c>
      <c r="H40" s="1538"/>
      <c r="I40" s="1539"/>
    </row>
    <row r="41" spans="2:9">
      <c r="C41" s="2" t="s">
        <v>265</v>
      </c>
      <c r="D41" s="2"/>
      <c r="E41" s="2"/>
      <c r="F41" s="4" t="s">
        <v>10</v>
      </c>
      <c r="G41" s="4" t="s">
        <v>269</v>
      </c>
      <c r="H41" s="1540"/>
      <c r="I41" s="1541"/>
    </row>
    <row r="42" spans="2:9">
      <c r="G42" s="22"/>
    </row>
    <row r="43" spans="2:9">
      <c r="B43" s="81" t="s">
        <v>298</v>
      </c>
      <c r="C43" s="81"/>
    </row>
    <row r="45" spans="2:9">
      <c r="C45" s="1" t="s">
        <v>266</v>
      </c>
      <c r="E45" s="1526" t="s">
        <v>319</v>
      </c>
      <c r="F45" s="1526"/>
      <c r="G45" s="1526"/>
    </row>
    <row r="47" spans="2:9">
      <c r="C47" s="1" t="s">
        <v>267</v>
      </c>
      <c r="D47" s="1" t="s">
        <v>274</v>
      </c>
      <c r="E47" s="1526" t="s">
        <v>320</v>
      </c>
      <c r="F47" s="1526"/>
      <c r="G47" s="1526"/>
      <c r="H47" s="1526"/>
      <c r="I47" s="1526"/>
    </row>
    <row r="48" spans="2:9">
      <c r="D48" s="1" t="s">
        <v>275</v>
      </c>
      <c r="E48" s="1526" t="s">
        <v>321</v>
      </c>
      <c r="F48" s="1526"/>
      <c r="G48" s="1526"/>
      <c r="H48" s="1526"/>
      <c r="I48" s="1526"/>
    </row>
    <row r="50" spans="3:8">
      <c r="E50" s="1" t="s">
        <v>277</v>
      </c>
      <c r="F50" s="1" t="s">
        <v>278</v>
      </c>
    </row>
    <row r="51" spans="3:8">
      <c r="E51" s="81" t="s">
        <v>279</v>
      </c>
      <c r="F51" s="81" t="s">
        <v>280</v>
      </c>
      <c r="G51" s="81"/>
      <c r="H51" s="81"/>
    </row>
    <row r="52" spans="3:8">
      <c r="E52" s="1" t="s">
        <v>281</v>
      </c>
      <c r="F52" s="1" t="s">
        <v>282</v>
      </c>
    </row>
    <row r="53" spans="3:8">
      <c r="E53" s="1" t="s">
        <v>283</v>
      </c>
      <c r="F53" s="1" t="s">
        <v>284</v>
      </c>
    </row>
    <row r="54" spans="3:8">
      <c r="E54" s="1" t="s">
        <v>285</v>
      </c>
      <c r="F54" s="1" t="s">
        <v>286</v>
      </c>
    </row>
    <row r="55" spans="3:8">
      <c r="E55" s="1" t="s">
        <v>287</v>
      </c>
      <c r="F55" s="1" t="s">
        <v>288</v>
      </c>
    </row>
    <row r="56" spans="3:8">
      <c r="E56" s="1" t="s">
        <v>289</v>
      </c>
      <c r="F56" s="1" t="s">
        <v>184</v>
      </c>
    </row>
    <row r="57" spans="3:8">
      <c r="E57" s="1" t="s">
        <v>290</v>
      </c>
      <c r="F57" s="1" t="s">
        <v>291</v>
      </c>
    </row>
    <row r="58" spans="3:8">
      <c r="C58" s="1" t="s">
        <v>347</v>
      </c>
    </row>
    <row r="60" spans="3:8">
      <c r="C60" s="1" t="s">
        <v>276</v>
      </c>
    </row>
    <row r="61" spans="3:8">
      <c r="C61" s="1" t="s">
        <v>292</v>
      </c>
    </row>
    <row r="63" spans="3:8">
      <c r="C63" s="1" t="s">
        <v>293</v>
      </c>
    </row>
    <row r="64" spans="3:8">
      <c r="C64" s="1" t="s">
        <v>294</v>
      </c>
    </row>
    <row r="65" spans="2:9">
      <c r="C65" s="1" t="s">
        <v>295</v>
      </c>
    </row>
    <row r="67" spans="2:9">
      <c r="B67" s="81" t="s">
        <v>299</v>
      </c>
    </row>
    <row r="69" spans="2:9">
      <c r="C69" s="1525" t="s">
        <v>301</v>
      </c>
      <c r="D69" s="1525"/>
      <c r="E69" s="1525"/>
      <c r="F69" s="1525"/>
      <c r="G69" s="1525"/>
      <c r="H69" s="1525"/>
      <c r="I69" s="1525"/>
    </row>
    <row r="70" spans="2:9">
      <c r="C70" s="1525"/>
      <c r="D70" s="1525"/>
      <c r="E70" s="1525"/>
      <c r="F70" s="1525"/>
      <c r="G70" s="1525"/>
      <c r="H70" s="1525"/>
      <c r="I70" s="1525"/>
    </row>
    <row r="71" spans="2:9">
      <c r="C71" s="1525"/>
      <c r="D71" s="1525"/>
      <c r="E71" s="1525"/>
      <c r="F71" s="1525"/>
      <c r="G71" s="1525"/>
      <c r="H71" s="1525"/>
      <c r="I71" s="1525"/>
    </row>
    <row r="72" spans="2:9">
      <c r="C72" s="1525"/>
      <c r="D72" s="1525"/>
      <c r="E72" s="1525"/>
      <c r="F72" s="1525"/>
      <c r="G72" s="1525"/>
      <c r="H72" s="1525"/>
      <c r="I72" s="1525"/>
    </row>
    <row r="74" spans="2:9">
      <c r="C74" s="1" t="s">
        <v>302</v>
      </c>
    </row>
    <row r="76" spans="2:9">
      <c r="E76" s="1526" t="s">
        <v>303</v>
      </c>
      <c r="F76" s="1526"/>
      <c r="G76" s="1526"/>
    </row>
    <row r="78" spans="2:9">
      <c r="C78" s="1" t="s">
        <v>304</v>
      </c>
    </row>
    <row r="80" spans="2:9">
      <c r="E80" s="1526" t="s">
        <v>305</v>
      </c>
      <c r="F80" s="1526"/>
      <c r="G80" s="1526"/>
      <c r="H80" s="1526"/>
      <c r="I80" s="1526"/>
    </row>
    <row r="82" spans="2:8">
      <c r="E82" s="1" t="s">
        <v>306</v>
      </c>
      <c r="F82" s="254" t="s">
        <v>256</v>
      </c>
    </row>
    <row r="83" spans="2:8">
      <c r="E83" s="1" t="s">
        <v>281</v>
      </c>
      <c r="F83" s="1" t="s">
        <v>282</v>
      </c>
    </row>
    <row r="84" spans="2:8">
      <c r="E84" s="81" t="s">
        <v>307</v>
      </c>
      <c r="F84" s="81" t="s">
        <v>308</v>
      </c>
    </row>
    <row r="85" spans="2:8">
      <c r="E85" s="1" t="s">
        <v>310</v>
      </c>
      <c r="F85" s="1" t="s">
        <v>313</v>
      </c>
    </row>
    <row r="86" spans="2:8">
      <c r="E86" s="1" t="s">
        <v>311</v>
      </c>
      <c r="F86" s="1" t="s">
        <v>314</v>
      </c>
    </row>
    <row r="87" spans="2:8">
      <c r="E87" s="1" t="s">
        <v>312</v>
      </c>
      <c r="F87" s="1" t="s">
        <v>315</v>
      </c>
    </row>
    <row r="89" spans="2:8">
      <c r="C89" s="1" t="s">
        <v>300</v>
      </c>
    </row>
    <row r="91" spans="2:8">
      <c r="C91" s="1" t="s">
        <v>316</v>
      </c>
    </row>
    <row r="92" spans="2:8">
      <c r="C92" s="1" t="s">
        <v>317</v>
      </c>
    </row>
    <row r="94" spans="2:8">
      <c r="B94" s="81" t="s">
        <v>318</v>
      </c>
    </row>
    <row r="96" spans="2:8">
      <c r="C96" s="1" t="s">
        <v>266</v>
      </c>
      <c r="E96" s="1526" t="s">
        <v>322</v>
      </c>
      <c r="F96" s="1526"/>
      <c r="G96" s="1526"/>
      <c r="H96" s="1526"/>
    </row>
    <row r="98" spans="3:9">
      <c r="C98" s="1" t="s">
        <v>267</v>
      </c>
      <c r="D98" s="1" t="s">
        <v>274</v>
      </c>
      <c r="E98" s="1526" t="s">
        <v>323</v>
      </c>
      <c r="F98" s="1526"/>
      <c r="G98" s="1526"/>
      <c r="H98" s="1526"/>
      <c r="I98" s="1526"/>
    </row>
    <row r="99" spans="3:9">
      <c r="D99" s="1" t="s">
        <v>275</v>
      </c>
      <c r="E99" s="1526" t="s">
        <v>324</v>
      </c>
      <c r="F99" s="1526"/>
      <c r="G99" s="1526"/>
      <c r="H99" s="1526"/>
      <c r="I99" s="1526"/>
    </row>
    <row r="101" spans="3:9">
      <c r="E101" s="1" t="s">
        <v>325</v>
      </c>
      <c r="F101" s="1" t="s">
        <v>327</v>
      </c>
    </row>
    <row r="102" spans="3:9">
      <c r="E102" s="81" t="s">
        <v>326</v>
      </c>
      <c r="F102" s="81" t="s">
        <v>328</v>
      </c>
      <c r="G102" s="81"/>
      <c r="H102" s="81"/>
    </row>
    <row r="103" spans="3:9">
      <c r="E103" s="1" t="s">
        <v>330</v>
      </c>
      <c r="F103" s="1" t="s">
        <v>329</v>
      </c>
    </row>
    <row r="104" spans="3:9">
      <c r="E104" s="81" t="s">
        <v>331</v>
      </c>
      <c r="F104" s="81" t="s">
        <v>332</v>
      </c>
      <c r="G104" s="81"/>
    </row>
    <row r="105" spans="3:9">
      <c r="E105" s="1" t="s">
        <v>285</v>
      </c>
      <c r="F105" s="1" t="s">
        <v>286</v>
      </c>
    </row>
    <row r="106" spans="3:9">
      <c r="E106" s="1" t="s">
        <v>287</v>
      </c>
      <c r="F106" s="1" t="s">
        <v>288</v>
      </c>
    </row>
    <row r="107" spans="3:9">
      <c r="E107" s="1" t="s">
        <v>289</v>
      </c>
      <c r="F107" s="1" t="s">
        <v>184</v>
      </c>
    </row>
    <row r="108" spans="3:9">
      <c r="C108" s="1" t="s">
        <v>300</v>
      </c>
    </row>
    <row r="110" spans="3:9">
      <c r="C110" s="1" t="s">
        <v>333</v>
      </c>
    </row>
    <row r="111" spans="3:9">
      <c r="C111" s="1" t="s">
        <v>334</v>
      </c>
    </row>
    <row r="113" spans="1:9">
      <c r="C113" s="1525" t="s">
        <v>335</v>
      </c>
      <c r="D113" s="1525"/>
      <c r="E113" s="1525"/>
      <c r="F113" s="1525"/>
      <c r="G113" s="1525"/>
      <c r="H113" s="1525"/>
      <c r="I113" s="1525"/>
    </row>
    <row r="114" spans="1:9">
      <c r="C114" s="1525"/>
      <c r="D114" s="1525"/>
      <c r="E114" s="1525"/>
      <c r="F114" s="1525"/>
      <c r="G114" s="1525"/>
      <c r="H114" s="1525"/>
      <c r="I114" s="1525"/>
    </row>
    <row r="115" spans="1:9">
      <c r="C115" s="1525"/>
      <c r="D115" s="1525"/>
      <c r="E115" s="1525"/>
      <c r="F115" s="1525"/>
      <c r="G115" s="1525"/>
      <c r="H115" s="1525"/>
      <c r="I115" s="1525"/>
    </row>
    <row r="116" spans="1:9">
      <c r="C116" s="1525"/>
      <c r="D116" s="1525"/>
      <c r="E116" s="1525"/>
      <c r="F116" s="1525"/>
      <c r="G116" s="1525"/>
      <c r="H116" s="1525"/>
      <c r="I116" s="1525"/>
    </row>
    <row r="117" spans="1:9">
      <c r="C117" s="1525"/>
      <c r="D117" s="1525"/>
      <c r="E117" s="1525"/>
      <c r="F117" s="1525"/>
      <c r="G117" s="1525"/>
      <c r="H117" s="1525"/>
      <c r="I117" s="1525"/>
    </row>
    <row r="119" spans="1:9">
      <c r="C119" s="1525" t="s">
        <v>336</v>
      </c>
      <c r="D119" s="1525"/>
      <c r="E119" s="1525"/>
      <c r="F119" s="1525"/>
      <c r="G119" s="1525"/>
      <c r="H119" s="1525"/>
      <c r="I119" s="1525"/>
    </row>
    <row r="120" spans="1:9">
      <c r="C120" s="1525"/>
      <c r="D120" s="1525"/>
      <c r="E120" s="1525"/>
      <c r="F120" s="1525"/>
      <c r="G120" s="1525"/>
      <c r="H120" s="1525"/>
      <c r="I120" s="1525"/>
    </row>
    <row r="121" spans="1:9">
      <c r="C121" s="1525"/>
      <c r="D121" s="1525"/>
      <c r="E121" s="1525"/>
      <c r="F121" s="1525"/>
      <c r="G121" s="1525"/>
      <c r="H121" s="1525"/>
      <c r="I121" s="1525"/>
    </row>
    <row r="122" spans="1:9">
      <c r="C122" s="1525"/>
      <c r="D122" s="1525"/>
      <c r="E122" s="1525"/>
      <c r="F122" s="1525"/>
      <c r="G122" s="1525"/>
      <c r="H122" s="1525"/>
      <c r="I122" s="1525"/>
    </row>
    <row r="123" spans="1:9">
      <c r="C123" s="1525"/>
      <c r="D123" s="1525"/>
      <c r="E123" s="1525"/>
      <c r="F123" s="1525"/>
      <c r="G123" s="1525"/>
      <c r="H123" s="1525"/>
      <c r="I123" s="1525"/>
    </row>
    <row r="124" spans="1:9">
      <c r="C124" s="1" t="s">
        <v>337</v>
      </c>
    </row>
    <row r="126" spans="1:9">
      <c r="A126" s="81">
        <v>3</v>
      </c>
      <c r="B126" s="81" t="s">
        <v>338</v>
      </c>
    </row>
    <row r="127" spans="1:9">
      <c r="C127" s="1525" t="s">
        <v>339</v>
      </c>
      <c r="D127" s="1525"/>
      <c r="E127" s="1525"/>
      <c r="F127" s="1525"/>
      <c r="G127" s="1525"/>
      <c r="H127" s="1525"/>
      <c r="I127" s="1525"/>
    </row>
    <row r="128" spans="1:9">
      <c r="C128" s="1525"/>
      <c r="D128" s="1525"/>
      <c r="E128" s="1525"/>
      <c r="F128" s="1525"/>
      <c r="G128" s="1525"/>
      <c r="H128" s="1525"/>
      <c r="I128" s="1525"/>
    </row>
    <row r="129" spans="3:9">
      <c r="C129" s="1525"/>
      <c r="D129" s="1525"/>
      <c r="E129" s="1525"/>
      <c r="F129" s="1525"/>
      <c r="G129" s="1525"/>
      <c r="H129" s="1525"/>
      <c r="I129" s="1525"/>
    </row>
    <row r="130" spans="3:9">
      <c r="C130" s="253"/>
      <c r="D130" s="253"/>
      <c r="E130" s="253"/>
      <c r="F130" s="253"/>
      <c r="G130" s="253"/>
      <c r="H130" s="253"/>
      <c r="I130" s="253"/>
    </row>
    <row r="131" spans="3:9">
      <c r="C131" s="1525" t="s">
        <v>340</v>
      </c>
      <c r="D131" s="1525"/>
      <c r="E131" s="1525"/>
      <c r="F131" s="1525"/>
      <c r="G131" s="1525"/>
      <c r="H131" s="1525"/>
      <c r="I131" s="1525"/>
    </row>
    <row r="132" spans="3:9">
      <c r="C132" s="1525"/>
      <c r="D132" s="1525"/>
      <c r="E132" s="1525"/>
      <c r="F132" s="1525"/>
      <c r="G132" s="1525"/>
      <c r="H132" s="1525"/>
      <c r="I132" s="1525"/>
    </row>
    <row r="133" spans="3:9">
      <c r="C133" s="1525"/>
      <c r="D133" s="1525"/>
      <c r="E133" s="1525"/>
      <c r="F133" s="1525"/>
      <c r="G133" s="1525"/>
      <c r="H133" s="1525"/>
      <c r="I133" s="1525"/>
    </row>
    <row r="135" spans="3:9">
      <c r="C135" s="1525" t="s">
        <v>341</v>
      </c>
      <c r="D135" s="1525"/>
      <c r="E135" s="1525"/>
      <c r="F135" s="1525"/>
      <c r="G135" s="1525"/>
      <c r="H135" s="1525"/>
      <c r="I135" s="1525"/>
    </row>
    <row r="136" spans="3:9">
      <c r="C136" s="1525"/>
      <c r="D136" s="1525"/>
      <c r="E136" s="1525"/>
      <c r="F136" s="1525"/>
      <c r="G136" s="1525"/>
      <c r="H136" s="1525"/>
      <c r="I136" s="1525"/>
    </row>
    <row r="138" spans="3:9">
      <c r="C138" s="1" t="s">
        <v>384</v>
      </c>
    </row>
    <row r="140" spans="3:9">
      <c r="C140" s="1" t="s">
        <v>385</v>
      </c>
    </row>
    <row r="142" spans="3:9">
      <c r="C142" s="1" t="s">
        <v>386</v>
      </c>
    </row>
    <row r="144" spans="3:9">
      <c r="C144" s="1" t="s">
        <v>387</v>
      </c>
    </row>
    <row r="146" spans="2:3">
      <c r="C146" s="1" t="s">
        <v>389</v>
      </c>
    </row>
    <row r="148" spans="2:3">
      <c r="C148" s="1" t="s">
        <v>390</v>
      </c>
    </row>
    <row r="151" spans="2:3">
      <c r="B151" s="1" t="s">
        <v>342</v>
      </c>
      <c r="C151" s="1" t="s">
        <v>343</v>
      </c>
    </row>
    <row r="152" spans="2:3">
      <c r="C152" s="1" t="s">
        <v>344</v>
      </c>
    </row>
  </sheetData>
  <mergeCells count="25">
    <mergeCell ref="C6:I8"/>
    <mergeCell ref="C9:I14"/>
    <mergeCell ref="C19:I22"/>
    <mergeCell ref="C23:I23"/>
    <mergeCell ref="C135:I136"/>
    <mergeCell ref="C30:E30"/>
    <mergeCell ref="C35:E35"/>
    <mergeCell ref="C36:E36"/>
    <mergeCell ref="C40:E40"/>
    <mergeCell ref="H30:I30"/>
    <mergeCell ref="H31:I33"/>
    <mergeCell ref="H34:I41"/>
    <mergeCell ref="C69:I72"/>
    <mergeCell ref="C113:I117"/>
    <mergeCell ref="C119:I123"/>
    <mergeCell ref="C127:I129"/>
    <mergeCell ref="C131:I133"/>
    <mergeCell ref="E45:G45"/>
    <mergeCell ref="E47:I47"/>
    <mergeCell ref="E48:I48"/>
    <mergeCell ref="E76:G76"/>
    <mergeCell ref="E80:I80"/>
    <mergeCell ref="E96:H96"/>
    <mergeCell ref="E98:I98"/>
    <mergeCell ref="E99:I9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29</vt:i4>
      </vt:variant>
    </vt:vector>
  </HeadingPairs>
  <TitlesOfParts>
    <vt:vector size="60" baseType="lpstr">
      <vt:lpstr>【入力】暑さ対策計算シート (2)</vt:lpstr>
      <vt:lpstr>様式１３号① 事業実績書</vt:lpstr>
      <vt:lpstr>様式１３号② 事業内容</vt:lpstr>
      <vt:lpstr>様式１３号③　資金計画</vt:lpstr>
      <vt:lpstr>入力</vt:lpstr>
      <vt:lpstr>結果</vt:lpstr>
      <vt:lpstr>原油換算</vt:lpstr>
      <vt:lpstr>区域</vt:lpstr>
      <vt:lpstr>暑さ対策の提案について</vt:lpstr>
      <vt:lpstr>実効温度差（ETD)諸言</vt:lpstr>
      <vt:lpstr>熱負荷計算シート (2)</vt:lpstr>
      <vt:lpstr>熱貫流率計算</vt:lpstr>
      <vt:lpstr>外壁実効温度差（ETD)一覧表</vt:lpstr>
      <vt:lpstr>標準日射取得量1</vt:lpstr>
      <vt:lpstr>温度条件他根拠</vt:lpstr>
      <vt:lpstr>さいたま市</vt:lpstr>
      <vt:lpstr>さいたま市屋根</vt:lpstr>
      <vt:lpstr>さいたま市外壁</vt:lpstr>
      <vt:lpstr>さいたま市窓断熱</vt:lpstr>
      <vt:lpstr>さいたま市窓遮熱</vt:lpstr>
      <vt:lpstr>熊谷市</vt:lpstr>
      <vt:lpstr>熊谷市屋根</vt:lpstr>
      <vt:lpstr>熊谷市外壁</vt:lpstr>
      <vt:lpstr>熊谷市窓断熱</vt:lpstr>
      <vt:lpstr>熊谷市窓遮熱</vt:lpstr>
      <vt:lpstr>秩父市</vt:lpstr>
      <vt:lpstr>秩父市屋根</vt:lpstr>
      <vt:lpstr>秩父市外壁</vt:lpstr>
      <vt:lpstr>秩父市窓断熱</vt:lpstr>
      <vt:lpstr>秩父市窓遮熱</vt:lpstr>
      <vt:lpstr>【根拠】日射係数</vt:lpstr>
      <vt:lpstr>【根拠】日射係数!Print_Area</vt:lpstr>
      <vt:lpstr>'【入力】暑さ対策計算シート (2)'!Print_Area</vt:lpstr>
      <vt:lpstr>さいたま市!Print_Area</vt:lpstr>
      <vt:lpstr>さいたま市屋根!Print_Area</vt:lpstr>
      <vt:lpstr>さいたま市外壁!Print_Area</vt:lpstr>
      <vt:lpstr>さいたま市窓遮熱!Print_Area</vt:lpstr>
      <vt:lpstr>さいたま市窓断熱!Print_Area</vt:lpstr>
      <vt:lpstr>温度条件他根拠!Print_Area</vt:lpstr>
      <vt:lpstr>'外壁実効温度差（ETD)一覧表'!Print_Area</vt:lpstr>
      <vt:lpstr>熊谷市!Print_Area</vt:lpstr>
      <vt:lpstr>熊谷市屋根!Print_Area</vt:lpstr>
      <vt:lpstr>熊谷市外壁!Print_Area</vt:lpstr>
      <vt:lpstr>熊谷市窓遮熱!Print_Area</vt:lpstr>
      <vt:lpstr>熊谷市窓断熱!Print_Area</vt:lpstr>
      <vt:lpstr>結果!Print_Area</vt:lpstr>
      <vt:lpstr>'実効温度差（ETD)諸言'!Print_Area</vt:lpstr>
      <vt:lpstr>暑さ対策の提案について!Print_Area</vt:lpstr>
      <vt:lpstr>秩父市!Print_Area</vt:lpstr>
      <vt:lpstr>秩父市屋根!Print_Area</vt:lpstr>
      <vt:lpstr>秩父市外壁!Print_Area</vt:lpstr>
      <vt:lpstr>秩父市窓遮熱!Print_Area</vt:lpstr>
      <vt:lpstr>秩父市窓断熱!Print_Area</vt:lpstr>
      <vt:lpstr>入力!Print_Area</vt:lpstr>
      <vt:lpstr>熱貫流率計算!Print_Area</vt:lpstr>
      <vt:lpstr>'熱負荷計算シート (2)'!Print_Area</vt:lpstr>
      <vt:lpstr>標準日射取得量1!Print_Area</vt:lpstr>
      <vt:lpstr>'様式１３号① 事業実績書'!Print_Area</vt:lpstr>
      <vt:lpstr>'様式１３号② 事業内容'!Print_Area</vt:lpstr>
      <vt:lpstr>'様式１３号③　資金計画'!Print_Area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暑さ様式2号 シートver.1.02</dc:title>
  <dc:creator/>
  <cp:lastModifiedBy/>
  <dcterms:created xsi:type="dcterms:W3CDTF">2006-09-16T00:00:00Z</dcterms:created>
  <dcterms:modified xsi:type="dcterms:W3CDTF">2020-04-21T23:53:01Z</dcterms:modified>
</cp:coreProperties>
</file>